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DOSSIERS THEMATIQUES\Commerce\Agriculture, SPS, produits sensibles\Produits agricoles sensibles\Comité de suivi - filières agricoles sensibles\5- 4e comité (S1 2021)\8- Version finale pour envoi SG\"/>
    </mc:Choice>
  </mc:AlternateContent>
  <bookViews>
    <workbookView xWindow="0" yWindow="0" windowWidth="25200" windowHeight="11985" tabRatio="861" activeTab="1"/>
  </bookViews>
  <sheets>
    <sheet name="Viande bovine" sheetId="1" r:id="rId1"/>
    <sheet name="Viande porcine" sheetId="7" r:id="rId2"/>
    <sheet name="Viande de volaille" sheetId="2" r:id="rId3"/>
    <sheet name="Sucre" sheetId="3" r:id="rId4"/>
    <sheet name="Ethanol" sheetId="4" r:id="rId5"/>
  </sheets>
  <definedNames>
    <definedName name="_xlnm.Print_Area" localSheetId="4">Ethanol!$A$1:$AO$91</definedName>
    <definedName name="_xlnm.Print_Area" localSheetId="3">Sucre!$A$1:$AN$101</definedName>
    <definedName name="_xlnm.Print_Area" localSheetId="0">'Viande bovine'!$A$1:$AO$145</definedName>
    <definedName name="_xlnm.Print_Area" localSheetId="2">'Viande de volaille'!$A$1:$T$56</definedName>
    <definedName name="_xlnm.Print_Area" localSheetId="1">'Viande porcine'!$A$1:$AN$114</definedName>
  </definedNames>
  <calcPr calcId="152511"/>
</workbook>
</file>

<file path=xl/calcChain.xml><?xml version="1.0" encoding="utf-8"?>
<calcChain xmlns="http://schemas.openxmlformats.org/spreadsheetml/2006/main">
  <c r="K22" i="4" l="1"/>
  <c r="J22" i="4"/>
  <c r="I22" i="4"/>
  <c r="H22" i="4"/>
  <c r="K20" i="4"/>
  <c r="K21" i="4" s="1"/>
  <c r="J20" i="4"/>
  <c r="J21" i="4" s="1"/>
  <c r="I20" i="4"/>
  <c r="I21" i="4" s="1"/>
  <c r="H20" i="4"/>
  <c r="H21" i="4" s="1"/>
  <c r="K19" i="4"/>
  <c r="J19" i="4"/>
  <c r="I19" i="4"/>
  <c r="H19" i="4"/>
  <c r="K17" i="4"/>
  <c r="K18" i="4" s="1"/>
  <c r="J17" i="4"/>
  <c r="J18" i="4" s="1"/>
  <c r="I17" i="4"/>
  <c r="I18" i="4" s="1"/>
  <c r="H17" i="4"/>
  <c r="H18" i="4" s="1"/>
  <c r="K9" i="4"/>
  <c r="K8" i="4"/>
  <c r="K7" i="4"/>
  <c r="K6" i="4"/>
  <c r="K4" i="4"/>
  <c r="K5" i="4" s="1"/>
  <c r="N5" i="4" l="1"/>
  <c r="O5" i="4"/>
  <c r="P5" i="4"/>
  <c r="Q5" i="4"/>
  <c r="R5" i="4"/>
  <c r="N8" i="4"/>
  <c r="O8" i="4"/>
  <c r="P8" i="4"/>
  <c r="Q8" i="4"/>
  <c r="R8" i="4"/>
  <c r="AJ135" i="4" l="1"/>
  <c r="AN139" i="4"/>
  <c r="AI134" i="4"/>
  <c r="AJ134" i="4"/>
  <c r="AK134" i="4"/>
  <c r="AL134" i="4"/>
  <c r="AM134" i="4"/>
  <c r="AN134" i="4"/>
  <c r="AI135" i="4"/>
  <c r="AK135" i="4"/>
  <c r="AL135" i="4"/>
  <c r="AM135" i="4"/>
  <c r="AN135" i="4"/>
  <c r="AI136" i="4"/>
  <c r="AJ136" i="4"/>
  <c r="AK136" i="4"/>
  <c r="AL136" i="4"/>
  <c r="AM136" i="4"/>
  <c r="AN136" i="4"/>
  <c r="AI137" i="4"/>
  <c r="AJ137" i="4"/>
  <c r="AK137" i="4"/>
  <c r="AL137" i="4"/>
  <c r="AM137" i="4"/>
  <c r="AN137" i="4"/>
  <c r="AI138" i="4"/>
  <c r="AJ138" i="4"/>
  <c r="AK138" i="4"/>
  <c r="AL138" i="4"/>
  <c r="AM138" i="4"/>
  <c r="AN138" i="4"/>
  <c r="AI139" i="4"/>
  <c r="AJ139" i="4"/>
  <c r="AK139" i="4"/>
  <c r="AL139" i="4"/>
  <c r="AM139" i="4"/>
  <c r="AI140" i="4"/>
  <c r="AJ140" i="4"/>
  <c r="AK140" i="4"/>
  <c r="AL140" i="4"/>
  <c r="AM140" i="4"/>
  <c r="AN140" i="4"/>
  <c r="AI141" i="4"/>
  <c r="AJ141" i="4"/>
  <c r="AK141" i="4"/>
  <c r="AL141" i="4"/>
  <c r="AM141" i="4"/>
  <c r="AN141" i="4"/>
  <c r="AI142" i="4"/>
  <c r="AJ142" i="4"/>
  <c r="AK142" i="4"/>
  <c r="AL142" i="4"/>
  <c r="AM142" i="4"/>
  <c r="AN142" i="4"/>
  <c r="V6" i="4" l="1"/>
  <c r="W32" i="4"/>
  <c r="W31" i="4"/>
  <c r="G91" i="4"/>
  <c r="H91" i="4"/>
  <c r="I91" i="4"/>
  <c r="J91" i="4"/>
  <c r="K91" i="4"/>
  <c r="L91" i="4"/>
  <c r="F91" i="4"/>
  <c r="V29" i="4" l="1"/>
  <c r="V26" i="4"/>
  <c r="V17" i="4"/>
  <c r="V14" i="4"/>
  <c r="AD53" i="4"/>
  <c r="AE53" i="4" s="1"/>
  <c r="W5" i="4"/>
  <c r="W7" i="4"/>
  <c r="W9" i="4"/>
  <c r="W10" i="4"/>
  <c r="W12" i="4"/>
  <c r="W15" i="4"/>
  <c r="W19" i="4"/>
  <c r="W21" i="4"/>
  <c r="W24" i="4"/>
  <c r="W27" i="4"/>
  <c r="V5" i="4"/>
  <c r="V7" i="4"/>
  <c r="V9" i="4"/>
  <c r="V10" i="4"/>
  <c r="V12" i="4"/>
  <c r="V13" i="4"/>
  <c r="V15" i="4"/>
  <c r="V16" i="4" s="1"/>
  <c r="V19" i="4"/>
  <c r="V20" i="4"/>
  <c r="V21" i="4"/>
  <c r="V22" i="4"/>
  <c r="V24" i="4"/>
  <c r="V25" i="4"/>
  <c r="V27" i="4"/>
  <c r="V28" i="4"/>
  <c r="L90" i="4"/>
  <c r="K90" i="4"/>
  <c r="J90" i="4"/>
  <c r="I90" i="4"/>
  <c r="H90" i="4"/>
  <c r="G90" i="4"/>
  <c r="F90" i="4"/>
  <c r="L89" i="4"/>
  <c r="K89" i="4"/>
  <c r="J89" i="4"/>
  <c r="I89" i="4"/>
  <c r="H89" i="4"/>
  <c r="G89" i="4"/>
  <c r="F89" i="4"/>
  <c r="L88" i="4"/>
  <c r="K88" i="4"/>
  <c r="J88" i="4"/>
  <c r="I88" i="4"/>
  <c r="H88" i="4"/>
  <c r="F88" i="4"/>
  <c r="G88" i="4"/>
  <c r="AF53" i="4" l="1"/>
  <c r="AG53" i="4" s="1"/>
  <c r="K48" i="4" l="1"/>
  <c r="J48" i="4"/>
  <c r="I48" i="4"/>
  <c r="H48" i="4"/>
  <c r="G48" i="4"/>
  <c r="F48" i="4"/>
  <c r="K47" i="4"/>
  <c r="J47" i="4"/>
  <c r="I47" i="4"/>
  <c r="H47" i="4"/>
  <c r="G47" i="4"/>
  <c r="F47" i="4"/>
  <c r="E48" i="4"/>
  <c r="E47" i="4"/>
  <c r="K43" i="4"/>
  <c r="J43" i="4"/>
  <c r="I43" i="4"/>
  <c r="H43" i="4"/>
  <c r="G43" i="4"/>
  <c r="F43" i="4"/>
  <c r="K42" i="4"/>
  <c r="J42" i="4"/>
  <c r="I42" i="4"/>
  <c r="H42" i="4"/>
  <c r="G42" i="4"/>
  <c r="F42" i="4"/>
  <c r="K41" i="4"/>
  <c r="J41" i="4"/>
  <c r="I41" i="4"/>
  <c r="H41" i="4"/>
  <c r="G41" i="4"/>
  <c r="F41" i="4"/>
  <c r="K40" i="4"/>
  <c r="J40" i="4"/>
  <c r="I40" i="4"/>
  <c r="H40" i="4"/>
  <c r="G40" i="4"/>
  <c r="F40" i="4"/>
  <c r="K39" i="4"/>
  <c r="J39" i="4"/>
  <c r="I39" i="4"/>
  <c r="H39" i="4"/>
  <c r="G39" i="4"/>
  <c r="F39" i="4"/>
  <c r="E42" i="4"/>
  <c r="E41" i="4"/>
  <c r="E40" i="4"/>
  <c r="E39" i="4"/>
  <c r="K44" i="3" l="1"/>
  <c r="J47" i="3"/>
  <c r="K47" i="3"/>
  <c r="J46" i="3"/>
  <c r="K46" i="3"/>
  <c r="J45" i="3"/>
  <c r="K45" i="3"/>
  <c r="J44" i="3"/>
  <c r="AN119" i="4" l="1"/>
  <c r="AM119" i="4"/>
  <c r="AL119" i="4"/>
  <c r="AK119" i="4"/>
  <c r="AJ119" i="4"/>
  <c r="AI119" i="4"/>
  <c r="AN118" i="4"/>
  <c r="AM118" i="4"/>
  <c r="AL118" i="4"/>
  <c r="AK118" i="4"/>
  <c r="AJ118" i="4"/>
  <c r="AI118" i="4"/>
  <c r="AN117" i="4"/>
  <c r="AM117" i="4"/>
  <c r="AL117" i="4"/>
  <c r="AK117" i="4"/>
  <c r="AJ117" i="4"/>
  <c r="AI117" i="4"/>
  <c r="AN116" i="4"/>
  <c r="AM116" i="4"/>
  <c r="AL116" i="4"/>
  <c r="AK116" i="4"/>
  <c r="AJ116" i="4"/>
  <c r="AI116" i="4"/>
  <c r="AN115" i="4"/>
  <c r="AM115" i="4"/>
  <c r="AL115" i="4"/>
  <c r="AK115" i="4"/>
  <c r="AJ115" i="4"/>
  <c r="AI115" i="4"/>
  <c r="AN114" i="4"/>
  <c r="AM114" i="4"/>
  <c r="AL114" i="4"/>
  <c r="AK114" i="4"/>
  <c r="AJ114" i="4"/>
  <c r="AI114" i="4"/>
  <c r="AN113" i="4"/>
  <c r="AM113" i="4"/>
  <c r="AL113" i="4"/>
  <c r="AK113" i="4"/>
  <c r="AJ113" i="4"/>
  <c r="AI113" i="4"/>
  <c r="AN112" i="4"/>
  <c r="AM112" i="4"/>
  <c r="AL112" i="4"/>
  <c r="AK112" i="4"/>
  <c r="AJ112" i="4"/>
  <c r="AI112" i="4"/>
  <c r="AN111" i="4"/>
  <c r="AM111" i="4"/>
  <c r="AL111" i="4"/>
  <c r="AK111" i="4"/>
  <c r="AJ111" i="4"/>
  <c r="AI111" i="4"/>
  <c r="AN110" i="4"/>
  <c r="AM110" i="4"/>
  <c r="AL110" i="4"/>
  <c r="AK110" i="4"/>
  <c r="AJ110" i="4"/>
  <c r="AI110" i="4"/>
  <c r="AN109" i="4"/>
  <c r="AM109" i="4"/>
  <c r="AL109" i="4"/>
  <c r="AK109" i="4"/>
  <c r="AK132" i="4" s="1"/>
  <c r="AJ109" i="4"/>
  <c r="AI109" i="4"/>
  <c r="AN108" i="4"/>
  <c r="AN131" i="4" s="1"/>
  <c r="AM108" i="4"/>
  <c r="AM131" i="4" s="1"/>
  <c r="AL108" i="4"/>
  <c r="AK108" i="4"/>
  <c r="AJ108" i="4"/>
  <c r="AJ131" i="4" s="1"/>
  <c r="AI108" i="4"/>
  <c r="AI131" i="4" s="1"/>
  <c r="AN107" i="4"/>
  <c r="AM107" i="4"/>
  <c r="AL107" i="4"/>
  <c r="AL130" i="4" s="1"/>
  <c r="AK107" i="4"/>
  <c r="AJ107" i="4"/>
  <c r="AI107" i="4"/>
  <c r="AN106" i="4"/>
  <c r="AM106" i="4"/>
  <c r="AL106" i="4"/>
  <c r="AK106" i="4"/>
  <c r="AJ106" i="4"/>
  <c r="AI106" i="4"/>
  <c r="AN105" i="4"/>
  <c r="AM105" i="4"/>
  <c r="AL105" i="4"/>
  <c r="AK105" i="4"/>
  <c r="AK128" i="4" s="1"/>
  <c r="AJ105" i="4"/>
  <c r="AI105" i="4"/>
  <c r="AN104" i="4"/>
  <c r="AN127" i="4" s="1"/>
  <c r="AM104" i="4"/>
  <c r="AM127" i="4" s="1"/>
  <c r="AL104" i="4"/>
  <c r="AK104" i="4"/>
  <c r="AJ104" i="4"/>
  <c r="AJ127" i="4" s="1"/>
  <c r="AI104" i="4"/>
  <c r="AI127" i="4" s="1"/>
  <c r="AN103" i="4"/>
  <c r="AM103" i="4"/>
  <c r="AL103" i="4"/>
  <c r="AL126" i="4" s="1"/>
  <c r="AK103" i="4"/>
  <c r="AJ103" i="4"/>
  <c r="AI103" i="4"/>
  <c r="AN102" i="4"/>
  <c r="AM102" i="4"/>
  <c r="AL102" i="4"/>
  <c r="AK102" i="4"/>
  <c r="AJ102" i="4"/>
  <c r="AI102" i="4"/>
  <c r="AN101" i="4"/>
  <c r="AM101" i="4"/>
  <c r="AL101" i="4"/>
  <c r="AK101" i="4"/>
  <c r="AK124" i="4" s="1"/>
  <c r="AJ101" i="4"/>
  <c r="AI101" i="4"/>
  <c r="AN100" i="4"/>
  <c r="AN123" i="4" s="1"/>
  <c r="AM100" i="4"/>
  <c r="AL100" i="4"/>
  <c r="AK100" i="4"/>
  <c r="AJ100" i="4"/>
  <c r="AJ123" i="4" s="1"/>
  <c r="AI100" i="4"/>
  <c r="AI123" i="4" s="1"/>
  <c r="AI55" i="4"/>
  <c r="AJ55" i="4"/>
  <c r="AK55" i="4"/>
  <c r="AK123" i="4" s="1"/>
  <c r="AL55" i="4"/>
  <c r="AL123" i="4" s="1"/>
  <c r="AM55" i="4"/>
  <c r="AN55" i="4"/>
  <c r="AO55" i="4"/>
  <c r="AI56" i="4"/>
  <c r="AI124" i="4" s="1"/>
  <c r="AJ56" i="4"/>
  <c r="AJ124" i="4" s="1"/>
  <c r="AK56" i="4"/>
  <c r="AL56" i="4"/>
  <c r="AL124" i="4" s="1"/>
  <c r="AM56" i="4"/>
  <c r="AM124" i="4" s="1"/>
  <c r="AN56" i="4"/>
  <c r="AN124" i="4" s="1"/>
  <c r="AO56" i="4"/>
  <c r="AI57" i="4"/>
  <c r="AI125" i="4" s="1"/>
  <c r="AJ57" i="4"/>
  <c r="AK57" i="4"/>
  <c r="AK125" i="4" s="1"/>
  <c r="AL57" i="4"/>
  <c r="AL125" i="4" s="1"/>
  <c r="AM57" i="4"/>
  <c r="AM125" i="4" s="1"/>
  <c r="AN57" i="4"/>
  <c r="AO57" i="4"/>
  <c r="AI58" i="4"/>
  <c r="AI126" i="4" s="1"/>
  <c r="AJ58" i="4"/>
  <c r="AJ126" i="4" s="1"/>
  <c r="AK58" i="4"/>
  <c r="AK126" i="4" s="1"/>
  <c r="AL58" i="4"/>
  <c r="AM58" i="4"/>
  <c r="AM126" i="4" s="1"/>
  <c r="AN58" i="4"/>
  <c r="AN126" i="4" s="1"/>
  <c r="AO58" i="4"/>
  <c r="AI59" i="4"/>
  <c r="AJ59" i="4"/>
  <c r="AK59" i="4"/>
  <c r="AK127" i="4" s="1"/>
  <c r="AL59" i="4"/>
  <c r="AL127" i="4" s="1"/>
  <c r="AM59" i="4"/>
  <c r="AN59" i="4"/>
  <c r="AO59" i="4"/>
  <c r="AI60" i="4"/>
  <c r="AI128" i="4" s="1"/>
  <c r="AJ60" i="4"/>
  <c r="AJ128" i="4" s="1"/>
  <c r="AK60" i="4"/>
  <c r="AL60" i="4"/>
  <c r="AL128" i="4" s="1"/>
  <c r="AM60" i="4"/>
  <c r="AM128" i="4" s="1"/>
  <c r="AN60" i="4"/>
  <c r="AN128" i="4" s="1"/>
  <c r="AO60" i="4"/>
  <c r="AI61" i="4"/>
  <c r="AI129" i="4" s="1"/>
  <c r="AJ61" i="4"/>
  <c r="AK61" i="4"/>
  <c r="AK129" i="4" s="1"/>
  <c r="AL61" i="4"/>
  <c r="AL129" i="4" s="1"/>
  <c r="AM61" i="4"/>
  <c r="AM129" i="4" s="1"/>
  <c r="AN61" i="4"/>
  <c r="AO61" i="4"/>
  <c r="AI62" i="4"/>
  <c r="AI130" i="4" s="1"/>
  <c r="AJ62" i="4"/>
  <c r="AJ130" i="4" s="1"/>
  <c r="AK62" i="4"/>
  <c r="AK130" i="4" s="1"/>
  <c r="AL62" i="4"/>
  <c r="AM62" i="4"/>
  <c r="AM130" i="4" s="1"/>
  <c r="AN62" i="4"/>
  <c r="AN130" i="4" s="1"/>
  <c r="AO62" i="4"/>
  <c r="AI63" i="4"/>
  <c r="AJ63" i="4"/>
  <c r="AK63" i="4"/>
  <c r="AK131" i="4" s="1"/>
  <c r="AL63" i="4"/>
  <c r="AL131" i="4" s="1"/>
  <c r="AM63" i="4"/>
  <c r="AN63" i="4"/>
  <c r="AO63" i="4"/>
  <c r="AI64" i="4"/>
  <c r="AI132" i="4" s="1"/>
  <c r="AJ64" i="4"/>
  <c r="AJ132" i="4" s="1"/>
  <c r="AK64" i="4"/>
  <c r="AL64" i="4"/>
  <c r="AL132" i="4" s="1"/>
  <c r="AM64" i="4"/>
  <c r="AM132" i="4" s="1"/>
  <c r="AN64" i="4"/>
  <c r="AN132" i="4" s="1"/>
  <c r="AO64" i="4"/>
  <c r="AI65" i="4"/>
  <c r="AI133" i="4" s="1"/>
  <c r="AJ65" i="4"/>
  <c r="AJ133" i="4" s="1"/>
  <c r="AK65" i="4"/>
  <c r="AK133" i="4" s="1"/>
  <c r="AL65" i="4"/>
  <c r="AL133" i="4" s="1"/>
  <c r="AM65" i="4"/>
  <c r="AM133" i="4" s="1"/>
  <c r="AN65" i="4"/>
  <c r="AN133" i="4" s="1"/>
  <c r="AO65" i="4"/>
  <c r="AI66" i="4"/>
  <c r="AJ66" i="4"/>
  <c r="AK66" i="4"/>
  <c r="AL66" i="4"/>
  <c r="AM66" i="4"/>
  <c r="AN66" i="4"/>
  <c r="AO66" i="4"/>
  <c r="AM123" i="4" l="1"/>
  <c r="AN129" i="4"/>
  <c r="AJ129" i="4"/>
  <c r="AN125" i="4"/>
  <c r="AJ125" i="4"/>
  <c r="AM127" i="3"/>
  <c r="AL127" i="3"/>
  <c r="AK127" i="3"/>
  <c r="AJ127" i="3"/>
  <c r="AI127" i="3"/>
  <c r="AH127" i="3"/>
  <c r="AM126" i="3"/>
  <c r="AL126" i="3"/>
  <c r="AK126" i="3"/>
  <c r="AJ126" i="3"/>
  <c r="AI126" i="3"/>
  <c r="AH126" i="3"/>
  <c r="AM125" i="3"/>
  <c r="AL125" i="3"/>
  <c r="AK125" i="3"/>
  <c r="AJ125" i="3"/>
  <c r="AI125" i="3"/>
  <c r="AH125" i="3"/>
  <c r="AM124" i="3"/>
  <c r="AL124" i="3"/>
  <c r="AK124" i="3"/>
  <c r="AJ124" i="3"/>
  <c r="AI124" i="3"/>
  <c r="AH124" i="3"/>
  <c r="AM123" i="3"/>
  <c r="AL123" i="3"/>
  <c r="AK123" i="3"/>
  <c r="AJ123" i="3"/>
  <c r="AI123" i="3"/>
  <c r="AH123" i="3"/>
  <c r="AM122" i="3"/>
  <c r="AL122" i="3"/>
  <c r="AK122" i="3"/>
  <c r="AJ122" i="3"/>
  <c r="AI122" i="3"/>
  <c r="AH122" i="3"/>
  <c r="AM121" i="3"/>
  <c r="AL121" i="3"/>
  <c r="AK121" i="3"/>
  <c r="AJ121" i="3"/>
  <c r="AI121" i="3"/>
  <c r="AH121" i="3"/>
  <c r="AM120" i="3"/>
  <c r="AL120" i="3"/>
  <c r="AK120" i="3"/>
  <c r="AJ120" i="3"/>
  <c r="AI120" i="3"/>
  <c r="AH120" i="3"/>
  <c r="AM119" i="3"/>
  <c r="AL119" i="3"/>
  <c r="AK119" i="3"/>
  <c r="AJ119" i="3"/>
  <c r="AI119" i="3"/>
  <c r="AH119" i="3"/>
  <c r="AM118" i="3"/>
  <c r="AL118" i="3"/>
  <c r="AK118" i="3"/>
  <c r="AJ118" i="3"/>
  <c r="AI118" i="3"/>
  <c r="AH118" i="3"/>
  <c r="AM117" i="3"/>
  <c r="AL117" i="3"/>
  <c r="AK117" i="3"/>
  <c r="AJ117" i="3"/>
  <c r="AI117" i="3"/>
  <c r="AH117" i="3"/>
  <c r="AM116" i="3"/>
  <c r="AL116" i="3"/>
  <c r="AK116" i="3"/>
  <c r="AJ116" i="3"/>
  <c r="AI116" i="3"/>
  <c r="AH116" i="3"/>
  <c r="AM115" i="3"/>
  <c r="AL115" i="3"/>
  <c r="AK115" i="3"/>
  <c r="AJ115" i="3"/>
  <c r="AI115" i="3"/>
  <c r="AH115" i="3"/>
  <c r="AM114" i="3"/>
  <c r="AL114" i="3"/>
  <c r="AK114" i="3"/>
  <c r="AJ114" i="3"/>
  <c r="AI114" i="3"/>
  <c r="AH114" i="3"/>
  <c r="AM113" i="3"/>
  <c r="AL113" i="3"/>
  <c r="AK113" i="3"/>
  <c r="AJ113" i="3"/>
  <c r="AI113" i="3"/>
  <c r="AH113" i="3"/>
  <c r="AM112" i="3"/>
  <c r="AL112" i="3"/>
  <c r="AK112" i="3"/>
  <c r="AJ112" i="3"/>
  <c r="AI112" i="3"/>
  <c r="AH112" i="3"/>
  <c r="AM111" i="3"/>
  <c r="AL111" i="3"/>
  <c r="AK111" i="3"/>
  <c r="AJ111" i="3"/>
  <c r="AI111" i="3"/>
  <c r="AH111" i="3"/>
  <c r="AM110" i="3"/>
  <c r="AL110" i="3"/>
  <c r="AK110" i="3"/>
  <c r="AJ110" i="3"/>
  <c r="AI110" i="3"/>
  <c r="AH110" i="3"/>
  <c r="AM109" i="3"/>
  <c r="AL109" i="3"/>
  <c r="AK109" i="3"/>
  <c r="AJ109" i="3"/>
  <c r="AI109" i="3"/>
  <c r="AH109" i="3"/>
  <c r="AM108" i="3"/>
  <c r="AL108" i="3"/>
  <c r="AK108" i="3"/>
  <c r="AJ108" i="3"/>
  <c r="AI108" i="3"/>
  <c r="AH108" i="3"/>
  <c r="L63" i="2"/>
  <c r="M63" i="2"/>
  <c r="N63" i="2"/>
  <c r="O63" i="2"/>
  <c r="P63" i="2"/>
  <c r="Q63" i="2"/>
  <c r="L64" i="2"/>
  <c r="M64" i="2"/>
  <c r="N64" i="2"/>
  <c r="O64" i="2"/>
  <c r="P64" i="2"/>
  <c r="Q64" i="2"/>
  <c r="L65" i="2"/>
  <c r="M65" i="2"/>
  <c r="N65" i="2"/>
  <c r="O65" i="2"/>
  <c r="P65" i="2"/>
  <c r="Q65" i="2"/>
  <c r="L66" i="2"/>
  <c r="M66" i="2"/>
  <c r="N66" i="2"/>
  <c r="O66" i="2"/>
  <c r="P66" i="2"/>
  <c r="Q66" i="2"/>
  <c r="L67" i="2"/>
  <c r="M67" i="2"/>
  <c r="N67" i="2"/>
  <c r="O67" i="2"/>
  <c r="P67" i="2"/>
  <c r="Q67" i="2"/>
  <c r="L68" i="2"/>
  <c r="M68" i="2"/>
  <c r="N68" i="2"/>
  <c r="O68" i="2"/>
  <c r="P68" i="2"/>
  <c r="Q68" i="2"/>
  <c r="L69" i="2"/>
  <c r="M69" i="2"/>
  <c r="N69" i="2"/>
  <c r="O69" i="2"/>
  <c r="P69" i="2"/>
  <c r="Q69" i="2"/>
  <c r="L70" i="2"/>
  <c r="M70" i="2"/>
  <c r="N70" i="2"/>
  <c r="O70" i="2"/>
  <c r="P70" i="2"/>
  <c r="Q70" i="2"/>
  <c r="L71" i="2"/>
  <c r="M71" i="2"/>
  <c r="N71" i="2"/>
  <c r="O71" i="2"/>
  <c r="P71" i="2"/>
  <c r="Q71" i="2"/>
  <c r="M62" i="2"/>
  <c r="N62" i="2"/>
  <c r="O62" i="2"/>
  <c r="P62" i="2"/>
  <c r="Q62" i="2"/>
  <c r="L62" i="2"/>
  <c r="AH146" i="7" l="1"/>
  <c r="AN157" i="7"/>
  <c r="AM157" i="7"/>
  <c r="AL157" i="7"/>
  <c r="AK157" i="7"/>
  <c r="AJ157" i="7"/>
  <c r="AI157" i="7"/>
  <c r="AH157" i="7"/>
  <c r="AN156" i="7"/>
  <c r="AM156" i="7"/>
  <c r="AL156" i="7"/>
  <c r="AK156" i="7"/>
  <c r="AJ156" i="7"/>
  <c r="AI156" i="7"/>
  <c r="AH156" i="7"/>
  <c r="AN155" i="7"/>
  <c r="AM155" i="7"/>
  <c r="AL155" i="7"/>
  <c r="AK155" i="7"/>
  <c r="AJ155" i="7"/>
  <c r="AI155" i="7"/>
  <c r="AH155" i="7"/>
  <c r="AN154" i="7"/>
  <c r="AM154" i="7"/>
  <c r="AL154" i="7"/>
  <c r="AK154" i="7"/>
  <c r="AJ154" i="7"/>
  <c r="AI154" i="7"/>
  <c r="AH154" i="7"/>
  <c r="AN153" i="7"/>
  <c r="AM153" i="7"/>
  <c r="AL153" i="7"/>
  <c r="AK153" i="7"/>
  <c r="AJ153" i="7"/>
  <c r="AI153" i="7"/>
  <c r="AH153" i="7"/>
  <c r="AN152" i="7"/>
  <c r="AM152" i="7"/>
  <c r="AL152" i="7"/>
  <c r="AK152" i="7"/>
  <c r="AJ152" i="7"/>
  <c r="AI152" i="7"/>
  <c r="AH152" i="7"/>
  <c r="AN151" i="7"/>
  <c r="AM151" i="7"/>
  <c r="AL151" i="7"/>
  <c r="AK151" i="7"/>
  <c r="AJ151" i="7"/>
  <c r="AI151" i="7"/>
  <c r="AH151" i="7"/>
  <c r="AN150" i="7"/>
  <c r="AM150" i="7"/>
  <c r="AL150" i="7"/>
  <c r="AK150" i="7"/>
  <c r="AJ150" i="7"/>
  <c r="AI150" i="7"/>
  <c r="AH150" i="7"/>
  <c r="AN149" i="7"/>
  <c r="AM149" i="7"/>
  <c r="AL149" i="7"/>
  <c r="AK149" i="7"/>
  <c r="AJ149" i="7"/>
  <c r="AI149" i="7"/>
  <c r="AH149" i="7"/>
  <c r="AN148" i="7"/>
  <c r="AM148" i="7"/>
  <c r="AL148" i="7"/>
  <c r="AK148" i="7"/>
  <c r="AJ148" i="7"/>
  <c r="AI148" i="7"/>
  <c r="AH148" i="7"/>
  <c r="AN147" i="7"/>
  <c r="AM147" i="7"/>
  <c r="AL147" i="7"/>
  <c r="AK147" i="7"/>
  <c r="AJ147" i="7"/>
  <c r="AI147" i="7"/>
  <c r="AH147" i="7"/>
  <c r="AN146" i="7"/>
  <c r="AM146" i="7"/>
  <c r="AL146" i="7"/>
  <c r="AK146" i="7"/>
  <c r="AJ146" i="7"/>
  <c r="AI146" i="7"/>
  <c r="AN145" i="7"/>
  <c r="AM145" i="7"/>
  <c r="AL145" i="7"/>
  <c r="AK145" i="7"/>
  <c r="AJ145" i="7"/>
  <c r="AI145" i="7"/>
  <c r="AH145" i="7"/>
  <c r="AN144" i="7"/>
  <c r="AM144" i="7"/>
  <c r="AL144" i="7"/>
  <c r="AK144" i="7"/>
  <c r="AJ144" i="7"/>
  <c r="AI144" i="7"/>
  <c r="AH144" i="7"/>
  <c r="AN143" i="7"/>
  <c r="AM143" i="7"/>
  <c r="AL143" i="7"/>
  <c r="AK143" i="7"/>
  <c r="AJ143" i="7"/>
  <c r="AI143" i="7"/>
  <c r="AH143" i="7"/>
  <c r="AN142" i="7"/>
  <c r="AM142" i="7"/>
  <c r="AL142" i="7"/>
  <c r="AK142" i="7"/>
  <c r="AJ142" i="7"/>
  <c r="AI142" i="7"/>
  <c r="AH142" i="7"/>
  <c r="AN141" i="7"/>
  <c r="AM141" i="7"/>
  <c r="AL141" i="7"/>
  <c r="AK141" i="7"/>
  <c r="AJ141" i="7"/>
  <c r="AI141" i="7"/>
  <c r="AH141" i="7"/>
  <c r="AN140" i="7"/>
  <c r="AM140" i="7"/>
  <c r="AL140" i="7"/>
  <c r="AK140" i="7"/>
  <c r="AJ140" i="7"/>
  <c r="AI140" i="7"/>
  <c r="AH140" i="7"/>
  <c r="AN139" i="7"/>
  <c r="AM139" i="7"/>
  <c r="AL139" i="7"/>
  <c r="AK139" i="7"/>
  <c r="AJ139" i="7"/>
  <c r="AI139" i="7"/>
  <c r="AH139" i="7"/>
  <c r="AN138" i="7"/>
  <c r="AM138" i="7"/>
  <c r="AL138" i="7"/>
  <c r="AK138" i="7"/>
  <c r="AJ138" i="7"/>
  <c r="AI138" i="7"/>
  <c r="AH138" i="7"/>
  <c r="AN74" i="7"/>
  <c r="AM74" i="7"/>
  <c r="AM180" i="7" s="1"/>
  <c r="AL74" i="7"/>
  <c r="AL180" i="7" s="1"/>
  <c r="AK74" i="7"/>
  <c r="AK180" i="7" s="1"/>
  <c r="AJ74" i="7"/>
  <c r="AJ180" i="7" s="1"/>
  <c r="AI74" i="7"/>
  <c r="AI180" i="7" s="1"/>
  <c r="AH74" i="7"/>
  <c r="AH180" i="7" s="1"/>
  <c r="AN73" i="7"/>
  <c r="AM73" i="7"/>
  <c r="AM179" i="7" s="1"/>
  <c r="AL73" i="7"/>
  <c r="AL179" i="7" s="1"/>
  <c r="AK73" i="7"/>
  <c r="AK179" i="7" s="1"/>
  <c r="AJ73" i="7"/>
  <c r="AJ179" i="7" s="1"/>
  <c r="AI73" i="7"/>
  <c r="AI179" i="7" s="1"/>
  <c r="AH73" i="7"/>
  <c r="AH179" i="7" s="1"/>
  <c r="AN72" i="7"/>
  <c r="AM72" i="7"/>
  <c r="AM178" i="7" s="1"/>
  <c r="AL72" i="7"/>
  <c r="AL178" i="7" s="1"/>
  <c r="AK72" i="7"/>
  <c r="AK178" i="7" s="1"/>
  <c r="AJ72" i="7"/>
  <c r="AJ178" i="7" s="1"/>
  <c r="AI72" i="7"/>
  <c r="AI178" i="7" s="1"/>
  <c r="AH72" i="7"/>
  <c r="AH178" i="7" s="1"/>
  <c r="AN71" i="7"/>
  <c r="AM71" i="7"/>
  <c r="AM177" i="7" s="1"/>
  <c r="AL71" i="7"/>
  <c r="AL177" i="7" s="1"/>
  <c r="AK71" i="7"/>
  <c r="AK177" i="7" s="1"/>
  <c r="AJ71" i="7"/>
  <c r="AJ177" i="7" s="1"/>
  <c r="AI71" i="7"/>
  <c r="AI177" i="7" s="1"/>
  <c r="AH71" i="7"/>
  <c r="AH177" i="7" s="1"/>
  <c r="AN70" i="7"/>
  <c r="AM70" i="7"/>
  <c r="AM176" i="7" s="1"/>
  <c r="AL70" i="7"/>
  <c r="AL176" i="7" s="1"/>
  <c r="AK70" i="7"/>
  <c r="AK176" i="7" s="1"/>
  <c r="AJ70" i="7"/>
  <c r="AJ176" i="7" s="1"/>
  <c r="AI70" i="7"/>
  <c r="AI176" i="7" s="1"/>
  <c r="AH70" i="7"/>
  <c r="AH176" i="7" s="1"/>
  <c r="AN69" i="7"/>
  <c r="AM69" i="7"/>
  <c r="AM175" i="7" s="1"/>
  <c r="AL69" i="7"/>
  <c r="AL175" i="7" s="1"/>
  <c r="AK69" i="7"/>
  <c r="AK175" i="7" s="1"/>
  <c r="AJ69" i="7"/>
  <c r="AJ175" i="7" s="1"/>
  <c r="AI69" i="7"/>
  <c r="AI175" i="7" s="1"/>
  <c r="AH69" i="7"/>
  <c r="AH175" i="7" s="1"/>
  <c r="AN68" i="7"/>
  <c r="AM68" i="7"/>
  <c r="AM174" i="7" s="1"/>
  <c r="AL68" i="7"/>
  <c r="AL174" i="7" s="1"/>
  <c r="AK68" i="7"/>
  <c r="AK174" i="7" s="1"/>
  <c r="AJ68" i="7"/>
  <c r="AJ174" i="7" s="1"/>
  <c r="AI68" i="7"/>
  <c r="AI174" i="7" s="1"/>
  <c r="AH68" i="7"/>
  <c r="AH174" i="7" s="1"/>
  <c r="AN67" i="7"/>
  <c r="AM67" i="7"/>
  <c r="AM173" i="7" s="1"/>
  <c r="AL67" i="7"/>
  <c r="AL173" i="7" s="1"/>
  <c r="AK67" i="7"/>
  <c r="AK173" i="7" s="1"/>
  <c r="AJ67" i="7"/>
  <c r="AJ173" i="7" s="1"/>
  <c r="AI67" i="7"/>
  <c r="AI173" i="7" s="1"/>
  <c r="AH67" i="7"/>
  <c r="AH173" i="7" s="1"/>
  <c r="AN66" i="7"/>
  <c r="AM66" i="7"/>
  <c r="AM172" i="7" s="1"/>
  <c r="AL66" i="7"/>
  <c r="AL172" i="7" s="1"/>
  <c r="AK66" i="7"/>
  <c r="AK172" i="7" s="1"/>
  <c r="AJ66" i="7"/>
  <c r="AJ172" i="7" s="1"/>
  <c r="AI66" i="7"/>
  <c r="AI172" i="7" s="1"/>
  <c r="AH66" i="7"/>
  <c r="AH172" i="7" s="1"/>
  <c r="AN65" i="7"/>
  <c r="AM65" i="7"/>
  <c r="AM171" i="7" s="1"/>
  <c r="AL65" i="7"/>
  <c r="AL171" i="7" s="1"/>
  <c r="AK65" i="7"/>
  <c r="AK171" i="7" s="1"/>
  <c r="AJ65" i="7"/>
  <c r="AJ171" i="7" s="1"/>
  <c r="AI65" i="7"/>
  <c r="AI171" i="7" s="1"/>
  <c r="AH65" i="7"/>
  <c r="AH171" i="7" s="1"/>
  <c r="AN64" i="7"/>
  <c r="AM64" i="7"/>
  <c r="AM170" i="7" s="1"/>
  <c r="AL64" i="7"/>
  <c r="AL170" i="7" s="1"/>
  <c r="AK64" i="7"/>
  <c r="AK170" i="7" s="1"/>
  <c r="AJ64" i="7"/>
  <c r="AJ170" i="7" s="1"/>
  <c r="AI64" i="7"/>
  <c r="AI170" i="7" s="1"/>
  <c r="AH64" i="7"/>
  <c r="AH170" i="7" s="1"/>
  <c r="AN63" i="7"/>
  <c r="AM63" i="7"/>
  <c r="AM169" i="7" s="1"/>
  <c r="AL63" i="7"/>
  <c r="AL169" i="7" s="1"/>
  <c r="AK63" i="7"/>
  <c r="AK169" i="7" s="1"/>
  <c r="AJ63" i="7"/>
  <c r="AJ169" i="7" s="1"/>
  <c r="AI63" i="7"/>
  <c r="AI169" i="7" s="1"/>
  <c r="AH63" i="7"/>
  <c r="AH169" i="7" s="1"/>
  <c r="AN62" i="7"/>
  <c r="AM62" i="7"/>
  <c r="AM168" i="7" s="1"/>
  <c r="AL62" i="7"/>
  <c r="AL168" i="7" s="1"/>
  <c r="AK62" i="7"/>
  <c r="AK168" i="7" s="1"/>
  <c r="AJ62" i="7"/>
  <c r="AJ168" i="7" s="1"/>
  <c r="AI62" i="7"/>
  <c r="AI168" i="7" s="1"/>
  <c r="AH62" i="7"/>
  <c r="AH168" i="7" s="1"/>
  <c r="AN61" i="7"/>
  <c r="AM61" i="7"/>
  <c r="AM167" i="7" s="1"/>
  <c r="AL61" i="7"/>
  <c r="AL167" i="7" s="1"/>
  <c r="AK61" i="7"/>
  <c r="AK167" i="7" s="1"/>
  <c r="AJ61" i="7"/>
  <c r="AJ167" i="7" s="1"/>
  <c r="AI61" i="7"/>
  <c r="AI167" i="7" s="1"/>
  <c r="AH61" i="7"/>
  <c r="AH167" i="7" s="1"/>
  <c r="AN60" i="7"/>
  <c r="AM60" i="7"/>
  <c r="AM166" i="7" s="1"/>
  <c r="AL60" i="7"/>
  <c r="AL166" i="7" s="1"/>
  <c r="AK60" i="7"/>
  <c r="AK166" i="7" s="1"/>
  <c r="AJ60" i="7"/>
  <c r="AJ166" i="7" s="1"/>
  <c r="AI60" i="7"/>
  <c r="AI166" i="7" s="1"/>
  <c r="AH60" i="7"/>
  <c r="AH166" i="7" s="1"/>
  <c r="AN59" i="7"/>
  <c r="AM59" i="7"/>
  <c r="AM165" i="7" s="1"/>
  <c r="AL59" i="7"/>
  <c r="AL165" i="7" s="1"/>
  <c r="AK59" i="7"/>
  <c r="AK165" i="7" s="1"/>
  <c r="AJ59" i="7"/>
  <c r="AJ165" i="7" s="1"/>
  <c r="AI59" i="7"/>
  <c r="AI165" i="7" s="1"/>
  <c r="AH59" i="7"/>
  <c r="AH165" i="7" s="1"/>
  <c r="AN58" i="7"/>
  <c r="AM58" i="7"/>
  <c r="AM164" i="7" s="1"/>
  <c r="AL58" i="7"/>
  <c r="AL164" i="7" s="1"/>
  <c r="AK58" i="7"/>
  <c r="AK164" i="7" s="1"/>
  <c r="AJ58" i="7"/>
  <c r="AJ164" i="7" s="1"/>
  <c r="AI58" i="7"/>
  <c r="AI164" i="7" s="1"/>
  <c r="AH58" i="7"/>
  <c r="AH164" i="7" s="1"/>
  <c r="AN57" i="7"/>
  <c r="AM57" i="7"/>
  <c r="AM163" i="7" s="1"/>
  <c r="AL57" i="7"/>
  <c r="AL163" i="7" s="1"/>
  <c r="AK57" i="7"/>
  <c r="AK163" i="7" s="1"/>
  <c r="AJ57" i="7"/>
  <c r="AJ163" i="7" s="1"/>
  <c r="AI57" i="7"/>
  <c r="AI163" i="7" s="1"/>
  <c r="AH57" i="7"/>
  <c r="AH163" i="7" s="1"/>
  <c r="AN56" i="7"/>
  <c r="AM56" i="7"/>
  <c r="AM162" i="7" s="1"/>
  <c r="AL56" i="7"/>
  <c r="AL162" i="7" s="1"/>
  <c r="AK56" i="7"/>
  <c r="AK162" i="7" s="1"/>
  <c r="AJ56" i="7"/>
  <c r="AJ162" i="7" s="1"/>
  <c r="AI56" i="7"/>
  <c r="AI162" i="7" s="1"/>
  <c r="AH56" i="7"/>
  <c r="AH162" i="7" s="1"/>
  <c r="AN55" i="7"/>
  <c r="AM55" i="7"/>
  <c r="AM161" i="7" s="1"/>
  <c r="AL55" i="7"/>
  <c r="AL161" i="7" s="1"/>
  <c r="AK55" i="7"/>
  <c r="AK161" i="7" s="1"/>
  <c r="AJ55" i="7"/>
  <c r="AJ161" i="7" s="1"/>
  <c r="AI55" i="7"/>
  <c r="AI161" i="7" s="1"/>
  <c r="AH55" i="7"/>
  <c r="AH161" i="7" s="1"/>
  <c r="AM158" i="7"/>
  <c r="AL158" i="7"/>
  <c r="AK158" i="7"/>
  <c r="T7" i="1"/>
  <c r="P7" i="1"/>
  <c r="AH211" i="1"/>
  <c r="AI211" i="1"/>
  <c r="AJ211" i="1"/>
  <c r="AK211" i="1"/>
  <c r="AL211" i="1"/>
  <c r="AM211" i="1"/>
  <c r="AH212" i="1"/>
  <c r="AI212" i="1"/>
  <c r="AJ212" i="1"/>
  <c r="AK212" i="1"/>
  <c r="AL212" i="1"/>
  <c r="AM212" i="1"/>
  <c r="AH213" i="1"/>
  <c r="AI213" i="1"/>
  <c r="AJ213" i="1"/>
  <c r="AK213" i="1"/>
  <c r="AL213" i="1"/>
  <c r="AM213" i="1"/>
  <c r="AH214" i="1"/>
  <c r="AI214" i="1"/>
  <c r="AJ214" i="1"/>
  <c r="AK214" i="1"/>
  <c r="AL214" i="1"/>
  <c r="AM214" i="1"/>
  <c r="AH215" i="1"/>
  <c r="AI215" i="1"/>
  <c r="AJ215" i="1"/>
  <c r="AK215" i="1"/>
  <c r="AL215" i="1"/>
  <c r="AM215" i="1"/>
  <c r="AH216" i="1"/>
  <c r="AI216" i="1"/>
  <c r="AJ216" i="1"/>
  <c r="AK216" i="1"/>
  <c r="AL216" i="1"/>
  <c r="AM216" i="1"/>
  <c r="AH217" i="1"/>
  <c r="AI217" i="1"/>
  <c r="AJ217" i="1"/>
  <c r="AK217" i="1"/>
  <c r="AL217" i="1"/>
  <c r="AM217" i="1"/>
  <c r="AH218" i="1"/>
  <c r="AI218" i="1"/>
  <c r="AJ218" i="1"/>
  <c r="AK218" i="1"/>
  <c r="AL218" i="1"/>
  <c r="AM218" i="1"/>
  <c r="AH219" i="1"/>
  <c r="AI219" i="1"/>
  <c r="AJ219" i="1"/>
  <c r="AK219" i="1"/>
  <c r="AL219" i="1"/>
  <c r="AM219" i="1"/>
  <c r="AH220" i="1"/>
  <c r="AI220" i="1"/>
  <c r="AJ220" i="1"/>
  <c r="AK220" i="1"/>
  <c r="AL220" i="1"/>
  <c r="AM220" i="1"/>
  <c r="AH221" i="1"/>
  <c r="AI221" i="1"/>
  <c r="AJ221" i="1"/>
  <c r="AK221" i="1"/>
  <c r="AL221" i="1"/>
  <c r="AM221" i="1"/>
  <c r="AH222" i="1"/>
  <c r="AI222" i="1"/>
  <c r="AJ222" i="1"/>
  <c r="AK222" i="1"/>
  <c r="AL222" i="1"/>
  <c r="AM222" i="1"/>
  <c r="AH223" i="1"/>
  <c r="AI223" i="1"/>
  <c r="AJ223" i="1"/>
  <c r="AK223" i="1"/>
  <c r="AL223" i="1"/>
  <c r="AM223" i="1"/>
  <c r="AH224" i="1"/>
  <c r="AI224" i="1"/>
  <c r="AJ224" i="1"/>
  <c r="AK224" i="1"/>
  <c r="AL224" i="1"/>
  <c r="AM224" i="1"/>
  <c r="AH225" i="1"/>
  <c r="AI225" i="1"/>
  <c r="AJ225" i="1"/>
  <c r="AK225" i="1"/>
  <c r="AL225" i="1"/>
  <c r="AM225" i="1"/>
  <c r="AI210" i="1"/>
  <c r="AJ210" i="1"/>
  <c r="AK210" i="1"/>
  <c r="AL210" i="1"/>
  <c r="AM210" i="1"/>
  <c r="AH210" i="1"/>
  <c r="AM203" i="1"/>
  <c r="AL203" i="1"/>
  <c r="AK203" i="1"/>
  <c r="AJ203" i="1"/>
  <c r="AI203" i="1"/>
  <c r="AH203" i="1"/>
  <c r="AM202" i="1"/>
  <c r="AL202" i="1"/>
  <c r="AK202" i="1"/>
  <c r="AJ202" i="1"/>
  <c r="AI202" i="1"/>
  <c r="AH202" i="1"/>
  <c r="AM201" i="1"/>
  <c r="AL201" i="1"/>
  <c r="AK201" i="1"/>
  <c r="AJ201" i="1"/>
  <c r="AI201" i="1"/>
  <c r="AH201" i="1"/>
  <c r="AM200" i="1"/>
  <c r="AL200" i="1"/>
  <c r="AK200" i="1"/>
  <c r="AJ200" i="1"/>
  <c r="AI200" i="1"/>
  <c r="AH200" i="1"/>
  <c r="AM199" i="1"/>
  <c r="AL199" i="1"/>
  <c r="AK199" i="1"/>
  <c r="AJ199" i="1"/>
  <c r="AI199" i="1"/>
  <c r="AH199" i="1"/>
  <c r="AM198" i="1"/>
  <c r="AL198" i="1"/>
  <c r="AK198" i="1"/>
  <c r="AJ198" i="1"/>
  <c r="AI198" i="1"/>
  <c r="AH198" i="1"/>
  <c r="AM197" i="1"/>
  <c r="AL197" i="1"/>
  <c r="AK197" i="1"/>
  <c r="AJ197" i="1"/>
  <c r="AI197" i="1"/>
  <c r="AH197" i="1"/>
  <c r="AM196" i="1"/>
  <c r="AL196" i="1"/>
  <c r="AK196" i="1"/>
  <c r="AJ196" i="1"/>
  <c r="AI196" i="1"/>
  <c r="AH196" i="1"/>
  <c r="AM195" i="1"/>
  <c r="AL195" i="1"/>
  <c r="AK195" i="1"/>
  <c r="AJ195" i="1"/>
  <c r="AI195" i="1"/>
  <c r="AH195" i="1"/>
  <c r="AM194" i="1"/>
  <c r="AL194" i="1"/>
  <c r="AK194" i="1"/>
  <c r="AJ194" i="1"/>
  <c r="AI194" i="1"/>
  <c r="AH194" i="1"/>
  <c r="AM193" i="1"/>
  <c r="AL193" i="1"/>
  <c r="AK193" i="1"/>
  <c r="AJ193" i="1"/>
  <c r="AI193" i="1"/>
  <c r="AH193" i="1"/>
  <c r="AM192" i="1"/>
  <c r="AL192" i="1"/>
  <c r="AK192" i="1"/>
  <c r="AJ192" i="1"/>
  <c r="AI192" i="1"/>
  <c r="AH192" i="1"/>
  <c r="AM191" i="1"/>
  <c r="AL191" i="1"/>
  <c r="AK191" i="1"/>
  <c r="AJ191" i="1"/>
  <c r="AI191" i="1"/>
  <c r="AH191" i="1"/>
  <c r="AM190" i="1"/>
  <c r="AL190" i="1"/>
  <c r="AK190" i="1"/>
  <c r="AJ190" i="1"/>
  <c r="AI190" i="1"/>
  <c r="AH190" i="1"/>
  <c r="AM189" i="1"/>
  <c r="AL189" i="1"/>
  <c r="AK189" i="1"/>
  <c r="AJ189" i="1"/>
  <c r="AI189" i="1"/>
  <c r="AH189" i="1"/>
  <c r="AM188" i="1"/>
  <c r="AL188" i="1"/>
  <c r="AK188" i="1"/>
  <c r="AJ188" i="1"/>
  <c r="AI188" i="1"/>
  <c r="AH188" i="1"/>
  <c r="AM187" i="1"/>
  <c r="AL187" i="1"/>
  <c r="AK187" i="1"/>
  <c r="AJ187" i="1"/>
  <c r="AI187" i="1"/>
  <c r="AH187" i="1"/>
  <c r="AM186" i="1"/>
  <c r="AL186" i="1"/>
  <c r="AK186" i="1"/>
  <c r="AJ186" i="1"/>
  <c r="AI186" i="1"/>
  <c r="AH186" i="1"/>
  <c r="AM185" i="1"/>
  <c r="AL185" i="1"/>
  <c r="AK185" i="1"/>
  <c r="AJ185" i="1"/>
  <c r="AI185" i="1"/>
  <c r="AH185" i="1"/>
  <c r="AM184" i="1"/>
  <c r="AL184" i="1"/>
  <c r="AK184" i="1"/>
  <c r="AJ184" i="1"/>
  <c r="AI184" i="1"/>
  <c r="AH184" i="1"/>
  <c r="AM183" i="1"/>
  <c r="AL183" i="1"/>
  <c r="AK183" i="1"/>
  <c r="AJ183" i="1"/>
  <c r="AI183" i="1"/>
  <c r="AH183" i="1"/>
  <c r="AM182" i="1"/>
  <c r="AL182" i="1"/>
  <c r="AK182" i="1"/>
  <c r="AJ182" i="1"/>
  <c r="AI182" i="1"/>
  <c r="AH182" i="1"/>
  <c r="AM181" i="1"/>
  <c r="AL181" i="1"/>
  <c r="AK181" i="1"/>
  <c r="AJ181" i="1"/>
  <c r="AI181" i="1"/>
  <c r="AH181" i="1"/>
  <c r="AM180" i="1"/>
  <c r="AL180" i="1"/>
  <c r="AK180" i="1"/>
  <c r="AJ180" i="1"/>
  <c r="AI180" i="1"/>
  <c r="AH180" i="1"/>
  <c r="AM179" i="1"/>
  <c r="AL179" i="1"/>
  <c r="AK179" i="1"/>
  <c r="AJ179" i="1"/>
  <c r="AI179" i="1"/>
  <c r="AH179" i="1"/>
  <c r="AM178" i="1"/>
  <c r="AL178" i="1"/>
  <c r="AK178" i="1"/>
  <c r="AJ178" i="1"/>
  <c r="AI178" i="1"/>
  <c r="AH178" i="1"/>
  <c r="AM177" i="1"/>
  <c r="AL177" i="1"/>
  <c r="AK177" i="1"/>
  <c r="AJ177" i="1"/>
  <c r="AI177" i="1"/>
  <c r="AH177" i="1"/>
  <c r="AM176" i="1"/>
  <c r="AL176" i="1"/>
  <c r="AK176" i="1"/>
  <c r="AJ176" i="1"/>
  <c r="AI176" i="1"/>
  <c r="AH176" i="1"/>
  <c r="AM175" i="1"/>
  <c r="AL175" i="1"/>
  <c r="AK175" i="1"/>
  <c r="AJ175" i="1"/>
  <c r="AI175" i="1"/>
  <c r="AH175" i="1"/>
  <c r="AM174" i="1"/>
  <c r="AL174" i="1"/>
  <c r="AK174" i="1"/>
  <c r="AJ174" i="1"/>
  <c r="AI174" i="1"/>
  <c r="AH174" i="1"/>
  <c r="AM173" i="1"/>
  <c r="AL173" i="1"/>
  <c r="AK173" i="1"/>
  <c r="AJ173" i="1"/>
  <c r="AI173" i="1"/>
  <c r="AH173" i="1"/>
  <c r="AM172" i="1"/>
  <c r="AL172" i="1"/>
  <c r="AK172" i="1"/>
  <c r="AJ172" i="1"/>
  <c r="AI172" i="1"/>
  <c r="AH172" i="1"/>
  <c r="AM171" i="1"/>
  <c r="AL171" i="1"/>
  <c r="AK171" i="1"/>
  <c r="AJ171" i="1"/>
  <c r="AI171" i="1"/>
  <c r="AH171" i="1"/>
  <c r="AM170" i="1"/>
  <c r="AL170" i="1"/>
  <c r="AK170" i="1"/>
  <c r="AJ170" i="1"/>
  <c r="AI170" i="1"/>
  <c r="AH170" i="1"/>
  <c r="AM169" i="1"/>
  <c r="AL169" i="1"/>
  <c r="AK169" i="1"/>
  <c r="AJ169" i="1"/>
  <c r="AI169" i="1"/>
  <c r="AH169" i="1"/>
  <c r="AM168" i="1"/>
  <c r="AL168" i="1"/>
  <c r="AK168" i="1"/>
  <c r="AJ168" i="1"/>
  <c r="AI168" i="1"/>
  <c r="AH168" i="1"/>
  <c r="AM167" i="1"/>
  <c r="AL167" i="1"/>
  <c r="AK167" i="1"/>
  <c r="AJ167" i="1"/>
  <c r="AI167" i="1"/>
  <c r="AH167" i="1"/>
  <c r="AM166" i="1"/>
  <c r="AL166" i="1"/>
  <c r="AK166" i="1"/>
  <c r="AJ166" i="1"/>
  <c r="AI166" i="1"/>
  <c r="AH166" i="1"/>
  <c r="AM165" i="1"/>
  <c r="AL165" i="1"/>
  <c r="AK165" i="1"/>
  <c r="AJ165" i="1"/>
  <c r="AI165" i="1"/>
  <c r="AH165" i="1"/>
  <c r="AM164" i="1"/>
  <c r="AL164" i="1"/>
  <c r="AK164" i="1"/>
  <c r="AJ164" i="1"/>
  <c r="AI164" i="1"/>
  <c r="AH164" i="1"/>
  <c r="AC56" i="3" l="1"/>
  <c r="AD56" i="3" s="1"/>
  <c r="AE56" i="3" s="1"/>
  <c r="AF56" i="3" s="1"/>
  <c r="AC55" i="3"/>
  <c r="AF54" i="3"/>
  <c r="AE54" i="3"/>
  <c r="AD54" i="3"/>
  <c r="AC54" i="3"/>
  <c r="AF53" i="3"/>
  <c r="AE53" i="3"/>
  <c r="AD53" i="3"/>
  <c r="AC53" i="3"/>
  <c r="AF52" i="3"/>
  <c r="AE52" i="3"/>
  <c r="AD52" i="3"/>
  <c r="AC52" i="3"/>
  <c r="AF51" i="3"/>
  <c r="AE51" i="3"/>
  <c r="AD51" i="3"/>
  <c r="AC51" i="3"/>
  <c r="L7" i="2"/>
  <c r="L27" i="2"/>
  <c r="O28" i="2"/>
  <c r="O25" i="2"/>
  <c r="O24" i="2"/>
  <c r="O16" i="2"/>
  <c r="O13" i="2"/>
  <c r="O31" i="7"/>
  <c r="O27" i="7"/>
  <c r="O28" i="7" s="1"/>
  <c r="O29" i="7"/>
  <c r="O30" i="7" s="1"/>
  <c r="O32" i="7"/>
  <c r="O24" i="7"/>
  <c r="O21" i="7"/>
  <c r="O19" i="7"/>
  <c r="O20" i="7" s="1"/>
  <c r="O22" i="7"/>
  <c r="O23" i="7" s="1"/>
  <c r="O25" i="7"/>
  <c r="O14" i="7"/>
  <c r="O15" i="7"/>
  <c r="O16" i="7"/>
  <c r="O17" i="7"/>
  <c r="O10" i="7"/>
  <c r="O11" i="7"/>
  <c r="O12" i="7"/>
  <c r="O8" i="7"/>
  <c r="O7" i="7"/>
  <c r="O6" i="7"/>
  <c r="S6" i="7"/>
  <c r="P6" i="1"/>
  <c r="O26" i="2"/>
  <c r="O27" i="2" s="1"/>
  <c r="O23" i="2"/>
  <c r="O20" i="2"/>
  <c r="O21" i="2" s="1"/>
  <c r="O18" i="2"/>
  <c r="O19" i="2" s="1"/>
  <c r="O14" i="2"/>
  <c r="O15" i="2" s="1"/>
  <c r="O12" i="2"/>
  <c r="O9" i="2"/>
  <c r="O10" i="2"/>
  <c r="O7" i="2"/>
  <c r="O6" i="2"/>
  <c r="AC53" i="7"/>
  <c r="AD53" i="7" s="1"/>
  <c r="AE53" i="7" s="1"/>
  <c r="AF53" i="7" s="1"/>
  <c r="B111" i="3"/>
  <c r="B113" i="3" s="1"/>
  <c r="B115" i="3" s="1"/>
  <c r="B117" i="3" s="1"/>
  <c r="B119" i="3" s="1"/>
  <c r="B121" i="3" s="1"/>
  <c r="B110" i="3"/>
  <c r="B112" i="3" s="1"/>
  <c r="B114" i="3" s="1"/>
  <c r="B116" i="3" s="1"/>
  <c r="B118" i="3" s="1"/>
  <c r="B120" i="3" s="1"/>
  <c r="B63" i="2"/>
  <c r="B64" i="2" s="1"/>
  <c r="B65" i="2" s="1"/>
  <c r="B68" i="2" s="1"/>
  <c r="B69" i="2" s="1"/>
  <c r="B70" i="2" s="1"/>
  <c r="B71" i="2" s="1"/>
  <c r="B123" i="3" l="1"/>
  <c r="B125" i="3" s="1"/>
  <c r="B127" i="3" s="1"/>
  <c r="B131" i="3"/>
  <c r="B133" i="3" s="1"/>
  <c r="B135" i="3" s="1"/>
  <c r="B137" i="3" s="1"/>
  <c r="B122" i="3"/>
  <c r="B124" i="3" s="1"/>
  <c r="B126" i="3" s="1"/>
  <c r="B130" i="3"/>
  <c r="B132" i="3" s="1"/>
  <c r="B134" i="3" s="1"/>
  <c r="B136" i="3" s="1"/>
  <c r="AC56" i="1"/>
  <c r="Y56" i="1"/>
  <c r="L29" i="1"/>
  <c r="L27" i="1"/>
  <c r="L5" i="1"/>
  <c r="AN76" i="7" l="1"/>
  <c r="AM76" i="7"/>
  <c r="AC126" i="7" l="1"/>
  <c r="AD126" i="7"/>
  <c r="AE126" i="7"/>
  <c r="AF126" i="7"/>
  <c r="AD130" i="7"/>
  <c r="AE130" i="7"/>
  <c r="AF130" i="7"/>
  <c r="AC130" i="7"/>
  <c r="AC125" i="7" s="1"/>
  <c r="K47" i="7"/>
  <c r="K48" i="7"/>
  <c r="K46" i="7"/>
  <c r="K45" i="7"/>
  <c r="AC76" i="7"/>
  <c r="AC127" i="7" s="1"/>
  <c r="AD125" i="7"/>
  <c r="AE125" i="7"/>
  <c r="AF125" i="7"/>
  <c r="AC122" i="7"/>
  <c r="AC75" i="7"/>
  <c r="AD76" i="7"/>
  <c r="AE76" i="7" s="1"/>
  <c r="AF76" i="7" s="1"/>
  <c r="AF127" i="7" s="1"/>
  <c r="AC121" i="7"/>
  <c r="AD121" i="7"/>
  <c r="AE121" i="7"/>
  <c r="AF121" i="7"/>
  <c r="AC120" i="7"/>
  <c r="AD120" i="7"/>
  <c r="AE120" i="7"/>
  <c r="AF120" i="7"/>
  <c r="AE122" i="7" l="1"/>
  <c r="AE127" i="7"/>
  <c r="AD122" i="7"/>
  <c r="AD127" i="7"/>
  <c r="AF122" i="7"/>
  <c r="K48" i="1"/>
  <c r="K47" i="1"/>
  <c r="K46" i="1"/>
  <c r="AC54" i="1"/>
  <c r="AD54" i="1"/>
  <c r="AE54" i="1"/>
  <c r="AF54" i="1"/>
  <c r="AC53" i="1"/>
  <c r="AC153" i="1" s="1"/>
  <c r="AD53" i="1"/>
  <c r="AD153" i="1" s="1"/>
  <c r="AE53" i="1"/>
  <c r="AE153" i="1" s="1"/>
  <c r="AF53" i="1"/>
  <c r="AF153" i="1" s="1"/>
  <c r="P10" i="1" l="1"/>
  <c r="AC55" i="1"/>
  <c r="AC158" i="1"/>
  <c r="K49" i="4"/>
  <c r="AN100" i="1"/>
  <c r="P28" i="1" s="1"/>
  <c r="AN65" i="1"/>
  <c r="P5" i="1" s="1"/>
  <c r="AN66" i="1"/>
  <c r="AN67" i="1"/>
  <c r="AN68" i="1"/>
  <c r="AN69" i="1"/>
  <c r="P15" i="1" s="1"/>
  <c r="P16" i="1" s="1"/>
  <c r="AN70" i="1"/>
  <c r="AN71" i="1"/>
  <c r="AN72" i="1"/>
  <c r="AN73" i="1"/>
  <c r="P14" i="1" s="1"/>
  <c r="AN74" i="1"/>
  <c r="AN75" i="1"/>
  <c r="AN76" i="1"/>
  <c r="AN77" i="1"/>
  <c r="P21" i="1" s="1"/>
  <c r="AN78" i="1"/>
  <c r="AN79" i="1"/>
  <c r="AN80" i="1"/>
  <c r="AN81" i="1"/>
  <c r="P18" i="1" s="1"/>
  <c r="P19" i="1" s="1"/>
  <c r="AN82" i="1"/>
  <c r="AN83" i="1"/>
  <c r="AN84" i="1"/>
  <c r="AN85" i="1"/>
  <c r="P12" i="1" s="1"/>
  <c r="AN86" i="1"/>
  <c r="AN87" i="1"/>
  <c r="AN88" i="1"/>
  <c r="AN89" i="1"/>
  <c r="P9" i="1" s="1"/>
  <c r="P11" i="1" s="1"/>
  <c r="AN90" i="1"/>
  <c r="AN91" i="1"/>
  <c r="AN92" i="1"/>
  <c r="AN93" i="1"/>
  <c r="P30" i="1" s="1"/>
  <c r="P31" i="1" s="1"/>
  <c r="AN94" i="1"/>
  <c r="AN95" i="1"/>
  <c r="AN96" i="1"/>
  <c r="P32" i="1" s="1"/>
  <c r="AN97" i="1"/>
  <c r="P26" i="1" s="1"/>
  <c r="P27" i="1" s="1"/>
  <c r="AN98" i="1"/>
  <c r="AN99" i="1"/>
  <c r="AN62" i="1"/>
  <c r="AN63" i="1"/>
  <c r="AN64" i="1"/>
  <c r="AN61" i="1"/>
  <c r="AM61" i="1"/>
  <c r="P24" i="1" l="1"/>
  <c r="P22" i="1"/>
  <c r="AD158" i="1"/>
  <c r="AC159" i="1"/>
  <c r="AO67" i="4"/>
  <c r="AO68" i="4"/>
  <c r="AO69" i="4"/>
  <c r="AO70" i="4"/>
  <c r="AO71" i="4"/>
  <c r="AO72" i="4"/>
  <c r="AO73" i="4"/>
  <c r="AO74" i="4"/>
  <c r="AN65" i="3"/>
  <c r="AN66" i="3"/>
  <c r="AN67" i="3"/>
  <c r="AN68" i="3"/>
  <c r="AN69" i="3"/>
  <c r="AN70" i="3"/>
  <c r="AN71" i="3"/>
  <c r="AN72" i="3"/>
  <c r="AN73" i="3"/>
  <c r="AN74" i="3"/>
  <c r="AN75" i="3"/>
  <c r="AN76" i="3"/>
  <c r="AN77" i="3"/>
  <c r="AN78" i="3"/>
  <c r="AN79" i="3"/>
  <c r="AN80" i="3"/>
  <c r="AN81" i="3"/>
  <c r="AN82" i="3"/>
  <c r="AN83" i="3"/>
  <c r="AN64" i="3"/>
  <c r="AM66" i="3"/>
  <c r="AM67" i="3"/>
  <c r="AM68" i="3"/>
  <c r="AM69" i="3"/>
  <c r="AM70" i="3"/>
  <c r="AM71" i="3"/>
  <c r="AM72" i="3"/>
  <c r="AM73" i="3"/>
  <c r="AM74" i="3"/>
  <c r="AM75" i="3"/>
  <c r="AM76" i="3"/>
  <c r="AM130" i="3" s="1"/>
  <c r="AM77" i="3"/>
  <c r="AM131" i="3" s="1"/>
  <c r="AM78" i="3"/>
  <c r="AM132" i="3" s="1"/>
  <c r="AM79" i="3"/>
  <c r="AM133" i="3" s="1"/>
  <c r="AM80" i="3"/>
  <c r="AM134" i="3" s="1"/>
  <c r="AM81" i="3"/>
  <c r="AM135" i="3" s="1"/>
  <c r="AM82" i="3"/>
  <c r="AM136" i="3" s="1"/>
  <c r="AM83" i="3"/>
  <c r="AM137" i="3" s="1"/>
  <c r="AM65" i="3"/>
  <c r="AM64" i="3"/>
  <c r="AC155" i="1" l="1"/>
  <c r="AC154" i="1"/>
  <c r="AD159" i="1"/>
  <c r="AE158" i="1"/>
  <c r="AF158" i="1" l="1"/>
  <c r="AF159" i="1" s="1"/>
  <c r="AE159" i="1"/>
  <c r="AD154" i="1"/>
  <c r="AD155" i="1"/>
  <c r="AE154" i="1" l="1"/>
  <c r="AE155" i="1"/>
  <c r="AF154" i="1"/>
  <c r="AF155" i="1"/>
  <c r="L7" i="1"/>
  <c r="Y55" i="3" l="1"/>
  <c r="I52" i="2"/>
  <c r="J52" i="2" s="1"/>
  <c r="K52" i="2" s="1"/>
  <c r="H52" i="2"/>
  <c r="T129" i="7"/>
  <c r="E128" i="7"/>
  <c r="Y76" i="7"/>
  <c r="Y122" i="7" s="1"/>
  <c r="Y127" i="7" l="1"/>
  <c r="Z76" i="7"/>
  <c r="J48" i="7" l="1"/>
  <c r="Y75" i="7"/>
  <c r="AM75" i="7" s="1"/>
  <c r="AA76" i="7"/>
  <c r="Z127" i="7"/>
  <c r="Z122" i="7"/>
  <c r="AB76" i="7" l="1"/>
  <c r="AA127" i="7"/>
  <c r="AA122" i="7"/>
  <c r="J119" i="1"/>
  <c r="AB122" i="7" l="1"/>
  <c r="AB127" i="7"/>
  <c r="AB54" i="3"/>
  <c r="AA54" i="3"/>
  <c r="Z54" i="3"/>
  <c r="Y54" i="3"/>
  <c r="X54" i="3"/>
  <c r="W54" i="3"/>
  <c r="V54" i="3"/>
  <c r="U54" i="3"/>
  <c r="T54" i="3"/>
  <c r="S54" i="3"/>
  <c r="R54" i="3"/>
  <c r="Q54" i="3"/>
  <c r="P54" i="3"/>
  <c r="O54" i="3"/>
  <c r="N54" i="3"/>
  <c r="M54" i="3"/>
  <c r="L54" i="3"/>
  <c r="K54" i="3"/>
  <c r="J54" i="3"/>
  <c r="I54" i="3"/>
  <c r="AB53" i="3"/>
  <c r="AA53" i="3"/>
  <c r="Z53" i="3"/>
  <c r="Y53" i="3"/>
  <c r="X53" i="3"/>
  <c r="W53" i="3"/>
  <c r="V53" i="3"/>
  <c r="U53" i="3"/>
  <c r="T53" i="3"/>
  <c r="S53" i="3"/>
  <c r="R53" i="3"/>
  <c r="Q53" i="3"/>
  <c r="P53" i="3"/>
  <c r="O53" i="3"/>
  <c r="N53" i="3"/>
  <c r="M53" i="3"/>
  <c r="L53" i="3"/>
  <c r="K53" i="3"/>
  <c r="J53" i="3"/>
  <c r="I53" i="3"/>
  <c r="AB52" i="3"/>
  <c r="AA52" i="3"/>
  <c r="Z52" i="3"/>
  <c r="Y52" i="3"/>
  <c r="X52" i="3"/>
  <c r="W52" i="3"/>
  <c r="V52" i="3"/>
  <c r="U52" i="3"/>
  <c r="T52" i="3"/>
  <c r="S52" i="3"/>
  <c r="R52" i="3"/>
  <c r="Q52" i="3"/>
  <c r="P52" i="3"/>
  <c r="O52" i="3"/>
  <c r="N52" i="3"/>
  <c r="M52" i="3"/>
  <c r="L52" i="3"/>
  <c r="K52" i="3"/>
  <c r="J52" i="3"/>
  <c r="I52" i="3"/>
  <c r="AB51" i="3"/>
  <c r="AA51" i="3"/>
  <c r="Z51" i="3"/>
  <c r="Y51" i="3"/>
  <c r="X51" i="3"/>
  <c r="W51" i="3"/>
  <c r="V51" i="3"/>
  <c r="U51" i="3"/>
  <c r="T51" i="3"/>
  <c r="S51" i="3"/>
  <c r="R51" i="3"/>
  <c r="Q51" i="3"/>
  <c r="P51" i="3"/>
  <c r="O51" i="3"/>
  <c r="N51" i="3"/>
  <c r="M51" i="3"/>
  <c r="L51" i="3"/>
  <c r="K51" i="3"/>
  <c r="J51" i="3"/>
  <c r="I51" i="3"/>
  <c r="H54" i="3"/>
  <c r="G54" i="3"/>
  <c r="F54" i="3"/>
  <c r="H53" i="3"/>
  <c r="G53" i="3"/>
  <c r="F53" i="3"/>
  <c r="H52" i="3"/>
  <c r="G52" i="3"/>
  <c r="F52" i="3"/>
  <c r="H51" i="3"/>
  <c r="G51" i="3"/>
  <c r="F51" i="3"/>
  <c r="E52" i="3"/>
  <c r="E53" i="3"/>
  <c r="E54" i="3"/>
  <c r="E51" i="3"/>
  <c r="B67" i="3" l="1"/>
  <c r="B69" i="3" s="1"/>
  <c r="B71" i="3" s="1"/>
  <c r="B73" i="3" s="1"/>
  <c r="B75" i="3" s="1"/>
  <c r="B77" i="3" s="1"/>
  <c r="B79" i="3" s="1"/>
  <c r="B81" i="3" s="1"/>
  <c r="B83" i="3" s="1"/>
  <c r="B66" i="3"/>
  <c r="B68" i="3" s="1"/>
  <c r="B70" i="3" s="1"/>
  <c r="B72" i="3" s="1"/>
  <c r="B74" i="3" s="1"/>
  <c r="B76" i="3" s="1"/>
  <c r="B78" i="3" s="1"/>
  <c r="B80" i="3" s="1"/>
  <c r="B82" i="3" s="1"/>
  <c r="J49" i="4" l="1"/>
  <c r="Z7" i="4"/>
  <c r="Y5" i="4"/>
  <c r="Z5" i="4"/>
  <c r="Y15" i="4"/>
  <c r="Z15" i="4"/>
  <c r="Y12" i="4"/>
  <c r="Z12" i="4"/>
  <c r="Y21" i="4"/>
  <c r="Z21" i="4"/>
  <c r="Y19" i="4"/>
  <c r="Z19" i="4"/>
  <c r="AN67" i="4"/>
  <c r="Y10" i="4" s="1"/>
  <c r="AN68" i="4"/>
  <c r="Z10" i="4" s="1"/>
  <c r="AN69" i="4"/>
  <c r="Y9" i="4" s="1"/>
  <c r="AN70" i="4"/>
  <c r="Z9" i="4" s="1"/>
  <c r="AN71" i="4"/>
  <c r="Y27" i="4" s="1"/>
  <c r="AN72" i="4"/>
  <c r="Z27" i="4" s="1"/>
  <c r="AN73" i="4"/>
  <c r="Y24" i="4" s="1"/>
  <c r="AN74" i="4"/>
  <c r="Z24" i="4" s="1"/>
  <c r="Y7" i="4"/>
  <c r="P8" i="3"/>
  <c r="O7" i="3"/>
  <c r="P7" i="3"/>
  <c r="O16" i="3"/>
  <c r="P16" i="3"/>
  <c r="O15" i="3"/>
  <c r="P15" i="3"/>
  <c r="O20" i="3"/>
  <c r="P20" i="3"/>
  <c r="O18" i="3"/>
  <c r="P18" i="3"/>
  <c r="O25" i="3"/>
  <c r="P25" i="3"/>
  <c r="O23" i="3"/>
  <c r="P23" i="3"/>
  <c r="O8" i="3"/>
  <c r="S6" i="2"/>
  <c r="S7" i="2"/>
  <c r="S9" i="2"/>
  <c r="S10" i="2"/>
  <c r="S12" i="2"/>
  <c r="S14" i="2"/>
  <c r="S15" i="2" s="1"/>
  <c r="S18" i="2"/>
  <c r="S19" i="2" s="1"/>
  <c r="S20" i="2"/>
  <c r="S21" i="2" s="1"/>
  <c r="S23" i="2"/>
  <c r="S24" i="2" s="1"/>
  <c r="S26" i="2"/>
  <c r="S27" i="2" s="1"/>
  <c r="S7" i="7"/>
  <c r="AA121" i="7"/>
  <c r="AB121" i="7"/>
  <c r="AA120" i="7"/>
  <c r="AB120" i="7"/>
  <c r="J47" i="7"/>
  <c r="J46" i="7"/>
  <c r="J45" i="7"/>
  <c r="S8" i="7"/>
  <c r="S15" i="7"/>
  <c r="S16" i="7" s="1"/>
  <c r="S17" i="7"/>
  <c r="S14" i="7"/>
  <c r="S22" i="7"/>
  <c r="S23" i="7" s="1"/>
  <c r="S25" i="7"/>
  <c r="S19" i="7"/>
  <c r="S20" i="7" s="1"/>
  <c r="S11" i="7"/>
  <c r="S12" i="7"/>
  <c r="S10" i="7"/>
  <c r="S29" i="7"/>
  <c r="S30" i="7" s="1"/>
  <c r="S32" i="7"/>
  <c r="S27" i="7"/>
  <c r="S28" i="7" s="1"/>
  <c r="AB54" i="1"/>
  <c r="AA54" i="1"/>
  <c r="AB53" i="1"/>
  <c r="AB153" i="1" s="1"/>
  <c r="AA53" i="1"/>
  <c r="AA153" i="1" s="1"/>
  <c r="J47" i="1"/>
  <c r="J46" i="1"/>
  <c r="V52" i="1"/>
  <c r="W52" i="1"/>
  <c r="X52" i="1"/>
  <c r="Y52" i="1"/>
  <c r="Z52" i="1"/>
  <c r="AA52" i="1"/>
  <c r="AB52" i="1"/>
  <c r="U52" i="1"/>
  <c r="AM62" i="1"/>
  <c r="AM63" i="1"/>
  <c r="AM64" i="1"/>
  <c r="AM66" i="1"/>
  <c r="AM67" i="1"/>
  <c r="AM68" i="1"/>
  <c r="AM70" i="1"/>
  <c r="AM71" i="1"/>
  <c r="AM72" i="1"/>
  <c r="AM74" i="1"/>
  <c r="AM75" i="1"/>
  <c r="AM76" i="1"/>
  <c r="AM77" i="1"/>
  <c r="T21" i="1" s="1"/>
  <c r="AM78" i="1"/>
  <c r="AM79" i="1"/>
  <c r="AM80" i="1"/>
  <c r="AM81" i="1"/>
  <c r="T18" i="1" s="1"/>
  <c r="T19" i="1" s="1"/>
  <c r="AM82" i="1"/>
  <c r="AM83" i="1"/>
  <c r="AM84" i="1"/>
  <c r="AM86" i="1"/>
  <c r="AM87" i="1"/>
  <c r="AM88" i="1"/>
  <c r="AM90" i="1"/>
  <c r="AM91" i="1"/>
  <c r="AM92" i="1"/>
  <c r="AM94" i="1"/>
  <c r="AM95" i="1"/>
  <c r="AM96" i="1"/>
  <c r="T32" i="1" s="1"/>
  <c r="AM98" i="1"/>
  <c r="AM99" i="1"/>
  <c r="AM100" i="1"/>
  <c r="T28" i="1" s="1"/>
  <c r="O10" i="3" l="1"/>
  <c r="P12" i="3"/>
  <c r="O12" i="3"/>
  <c r="P10" i="3"/>
  <c r="T22" i="1"/>
  <c r="T24" i="1"/>
  <c r="I26" i="3"/>
  <c r="Y56" i="3" s="1"/>
  <c r="Z56" i="3" s="1"/>
  <c r="AA56" i="3" s="1"/>
  <c r="AB56" i="3" s="1"/>
  <c r="I24" i="3"/>
  <c r="R128" i="7" l="1"/>
  <c r="T128" i="7"/>
  <c r="G22" i="4" l="1"/>
  <c r="F22" i="4"/>
  <c r="E22" i="4"/>
  <c r="G20" i="4"/>
  <c r="G21" i="4" s="1"/>
  <c r="F20" i="4"/>
  <c r="F21" i="4" s="1"/>
  <c r="E20" i="4"/>
  <c r="E21" i="4" s="1"/>
  <c r="G19" i="4"/>
  <c r="F19" i="4"/>
  <c r="E19" i="4"/>
  <c r="I9" i="4"/>
  <c r="H9" i="4"/>
  <c r="G9" i="4"/>
  <c r="F9" i="4"/>
  <c r="E9" i="4"/>
  <c r="I6" i="4"/>
  <c r="H6" i="4"/>
  <c r="G6" i="4"/>
  <c r="F6" i="4"/>
  <c r="E6" i="4"/>
  <c r="Y28" i="4"/>
  <c r="G17" i="4"/>
  <c r="G18" i="4" s="1"/>
  <c r="F17" i="4"/>
  <c r="F18" i="4" s="1"/>
  <c r="E17" i="4"/>
  <c r="E18" i="4" s="1"/>
  <c r="I7" i="4"/>
  <c r="I8" i="4" s="1"/>
  <c r="H7" i="4"/>
  <c r="H8" i="4" s="1"/>
  <c r="G7" i="4"/>
  <c r="G8" i="4" s="1"/>
  <c r="F7" i="4"/>
  <c r="F8" i="4" s="1"/>
  <c r="E7" i="4"/>
  <c r="E8" i="4" s="1"/>
  <c r="I4" i="4"/>
  <c r="I5" i="4" s="1"/>
  <c r="H4" i="4"/>
  <c r="H5" i="4" s="1"/>
  <c r="G4" i="4"/>
  <c r="G5" i="4" s="1"/>
  <c r="F4" i="4"/>
  <c r="F5" i="4" s="1"/>
  <c r="E4" i="4"/>
  <c r="E5" i="4" s="1"/>
  <c r="Y25" i="4" l="1"/>
  <c r="Y22" i="4"/>
  <c r="Y20" i="4"/>
  <c r="Y16" i="4"/>
  <c r="Y13" i="4"/>
  <c r="AL75" i="3" l="1"/>
  <c r="AK75" i="3"/>
  <c r="AJ75" i="3"/>
  <c r="AI75" i="3"/>
  <c r="AH75" i="3"/>
  <c r="AL74" i="3"/>
  <c r="AK74" i="3"/>
  <c r="AJ74" i="3"/>
  <c r="AI74" i="3"/>
  <c r="AH74" i="3"/>
  <c r="AL73" i="3"/>
  <c r="AK73" i="3"/>
  <c r="AJ73" i="3"/>
  <c r="AI73" i="3"/>
  <c r="AH73" i="3"/>
  <c r="AL72" i="3"/>
  <c r="AK72" i="3"/>
  <c r="AJ72" i="3"/>
  <c r="AI72" i="3"/>
  <c r="AH72" i="3"/>
  <c r="AL84" i="1"/>
  <c r="AK84" i="1"/>
  <c r="AJ84" i="1"/>
  <c r="AI84" i="1"/>
  <c r="AH84" i="1"/>
  <c r="AL83" i="1"/>
  <c r="AK83" i="1"/>
  <c r="AJ83" i="1"/>
  <c r="AI83" i="1"/>
  <c r="AH83" i="1"/>
  <c r="AL82" i="1"/>
  <c r="AK82" i="1"/>
  <c r="AJ82" i="1"/>
  <c r="AI82" i="1"/>
  <c r="AH82" i="1"/>
  <c r="AL81" i="1"/>
  <c r="AK81" i="1"/>
  <c r="AJ81" i="1"/>
  <c r="AI81" i="1"/>
  <c r="AH81" i="1"/>
  <c r="AL80" i="1"/>
  <c r="AK80" i="1"/>
  <c r="AJ80" i="1"/>
  <c r="AI80" i="1"/>
  <c r="AH80" i="1"/>
  <c r="AL79" i="1"/>
  <c r="AK79" i="1"/>
  <c r="AJ79" i="1"/>
  <c r="AI79" i="1"/>
  <c r="AH79" i="1"/>
  <c r="AL78" i="1"/>
  <c r="AK78" i="1"/>
  <c r="AJ78" i="1"/>
  <c r="AI78" i="1"/>
  <c r="AH78" i="1"/>
  <c r="AL77" i="1"/>
  <c r="AK77" i="1"/>
  <c r="AJ77" i="1"/>
  <c r="AI77" i="1"/>
  <c r="AH77" i="1"/>
  <c r="T6" i="1" l="1"/>
  <c r="H116" i="1"/>
  <c r="U157" i="1"/>
  <c r="E157" i="1"/>
  <c r="F157" i="1" s="1"/>
  <c r="I157" i="1"/>
  <c r="J157" i="1" s="1"/>
  <c r="M157" i="1"/>
  <c r="N157" i="1" s="1"/>
  <c r="I112" i="1"/>
  <c r="H112" i="1"/>
  <c r="T154" i="1" l="1"/>
  <c r="Q157" i="1"/>
  <c r="S157" i="1" s="1"/>
  <c r="Y157" i="1"/>
  <c r="Z157" i="1" s="1"/>
  <c r="AA157" i="1" s="1"/>
  <c r="J48" i="1"/>
  <c r="H157" i="1"/>
  <c r="G157" i="1"/>
  <c r="V157" i="1"/>
  <c r="W157" i="1"/>
  <c r="X157" i="1"/>
  <c r="P157" i="1"/>
  <c r="L157" i="1"/>
  <c r="O157" i="1"/>
  <c r="K157" i="1"/>
  <c r="T157" i="1" l="1"/>
  <c r="Y55" i="1"/>
  <c r="T10" i="1"/>
  <c r="AB157" i="1"/>
  <c r="AL100" i="1"/>
  <c r="AK100" i="1"/>
  <c r="AJ100" i="1"/>
  <c r="AI100" i="1"/>
  <c r="AH100" i="1"/>
  <c r="AL99" i="1"/>
  <c r="AK99" i="1"/>
  <c r="AJ99" i="1"/>
  <c r="AI99" i="1"/>
  <c r="AH99" i="1"/>
  <c r="AL98" i="1"/>
  <c r="AK98" i="1"/>
  <c r="AJ98" i="1"/>
  <c r="AI98" i="1"/>
  <c r="AH98" i="1"/>
  <c r="AL96" i="1"/>
  <c r="AK96" i="1"/>
  <c r="AJ96" i="1"/>
  <c r="AI96" i="1"/>
  <c r="AH96" i="1"/>
  <c r="AL95" i="1"/>
  <c r="AK95" i="1"/>
  <c r="AJ95" i="1"/>
  <c r="AI95" i="1"/>
  <c r="AH95" i="1"/>
  <c r="AL94" i="1"/>
  <c r="AK94" i="1"/>
  <c r="AJ94" i="1"/>
  <c r="AI94" i="1"/>
  <c r="AH94" i="1"/>
  <c r="AL92" i="1"/>
  <c r="AK92" i="1"/>
  <c r="AJ92" i="1"/>
  <c r="AI92" i="1"/>
  <c r="AH92" i="1"/>
  <c r="AL91" i="1"/>
  <c r="AK91" i="1"/>
  <c r="AJ91" i="1"/>
  <c r="AI91" i="1"/>
  <c r="AH91" i="1"/>
  <c r="AL90" i="1"/>
  <c r="AK90" i="1"/>
  <c r="AJ90" i="1"/>
  <c r="AI90" i="1"/>
  <c r="AH90" i="1"/>
  <c r="AL88" i="1"/>
  <c r="AK88" i="1"/>
  <c r="AJ88" i="1"/>
  <c r="AI88" i="1"/>
  <c r="AH88" i="1"/>
  <c r="AL87" i="1"/>
  <c r="AK87" i="1"/>
  <c r="AJ87" i="1"/>
  <c r="AI87" i="1"/>
  <c r="AH87" i="1"/>
  <c r="AL86" i="1"/>
  <c r="AK86" i="1"/>
  <c r="AJ86" i="1"/>
  <c r="AI86" i="1"/>
  <c r="AH86" i="1"/>
  <c r="AL76" i="1"/>
  <c r="AK76" i="1"/>
  <c r="AJ76" i="1"/>
  <c r="AI76" i="1"/>
  <c r="AH76" i="1"/>
  <c r="AL75" i="1"/>
  <c r="AK75" i="1"/>
  <c r="AJ75" i="1"/>
  <c r="AI75" i="1"/>
  <c r="AH75" i="1"/>
  <c r="AL74" i="1"/>
  <c r="AK74" i="1"/>
  <c r="AJ74" i="1"/>
  <c r="AI74" i="1"/>
  <c r="AH74" i="1"/>
  <c r="AL72" i="1"/>
  <c r="AK72" i="1"/>
  <c r="AJ72" i="1"/>
  <c r="AI72" i="1"/>
  <c r="AH72" i="1"/>
  <c r="AL71" i="1"/>
  <c r="AK71" i="1"/>
  <c r="AJ71" i="1"/>
  <c r="AI71" i="1"/>
  <c r="AH71" i="1"/>
  <c r="AL70" i="1"/>
  <c r="AK70" i="1"/>
  <c r="AJ70" i="1"/>
  <c r="AI70" i="1"/>
  <c r="AH70" i="1"/>
  <c r="AL68" i="1"/>
  <c r="AK68" i="1"/>
  <c r="AJ68" i="1"/>
  <c r="AI68" i="1"/>
  <c r="AH68" i="1"/>
  <c r="AL67" i="1"/>
  <c r="AK67" i="1"/>
  <c r="AJ67" i="1"/>
  <c r="AI67" i="1"/>
  <c r="AH67" i="1"/>
  <c r="AL64" i="1"/>
  <c r="AK64" i="1"/>
  <c r="AJ64" i="1"/>
  <c r="AI64" i="1"/>
  <c r="AH64" i="1"/>
  <c r="AL63" i="1"/>
  <c r="AK63" i="1"/>
  <c r="AJ63" i="1"/>
  <c r="AI63" i="1"/>
  <c r="AH63" i="1"/>
  <c r="AL62" i="1"/>
  <c r="AK62" i="1"/>
  <c r="AJ62" i="1"/>
  <c r="AI62" i="1"/>
  <c r="AH62" i="1"/>
  <c r="AM97" i="1"/>
  <c r="T26" i="1" s="1"/>
  <c r="T27" i="1" s="1"/>
  <c r="AM89" i="1"/>
  <c r="T9" i="1" s="1"/>
  <c r="T11" i="1" s="1"/>
  <c r="AM69" i="1" l="1"/>
  <c r="T15" i="1" s="1"/>
  <c r="T16" i="1" s="1"/>
  <c r="AM85" i="1"/>
  <c r="T12" i="1" s="1"/>
  <c r="AM93" i="1"/>
  <c r="T30" i="1" s="1"/>
  <c r="T31" i="1" s="1"/>
  <c r="AM65" i="1"/>
  <c r="T5" i="1" s="1"/>
  <c r="AM73" i="1"/>
  <c r="T14" i="1" s="1"/>
  <c r="AH61" i="1"/>
  <c r="AI61" i="1"/>
  <c r="AK61" i="1"/>
  <c r="AH65" i="1"/>
  <c r="AL65" i="1"/>
  <c r="AH69" i="1"/>
  <c r="AI69" i="1"/>
  <c r="AJ69" i="1"/>
  <c r="AK69" i="1"/>
  <c r="AI73" i="1"/>
  <c r="AH85" i="1"/>
  <c r="AI85" i="1"/>
  <c r="AJ85" i="1"/>
  <c r="AK85" i="1"/>
  <c r="AL85" i="1"/>
  <c r="AI89" i="1"/>
  <c r="AH93" i="1"/>
  <c r="AI93" i="1"/>
  <c r="AJ93" i="1"/>
  <c r="AK93" i="1"/>
  <c r="AL93" i="1"/>
  <c r="AI97" i="1"/>
  <c r="AJ61" i="1"/>
  <c r="AI65" i="1"/>
  <c r="AJ65" i="1"/>
  <c r="AK65" i="1"/>
  <c r="AH73" i="1"/>
  <c r="AJ73" i="1"/>
  <c r="AK73" i="1"/>
  <c r="AL73" i="1"/>
  <c r="AH89" i="1"/>
  <c r="AJ89" i="1"/>
  <c r="AK89" i="1"/>
  <c r="AL89" i="1"/>
  <c r="AH97" i="1"/>
  <c r="AJ97" i="1"/>
  <c r="AK97" i="1"/>
  <c r="AL97" i="1"/>
  <c r="AL61" i="1"/>
  <c r="AL69" i="1"/>
  <c r="Y120" i="7"/>
  <c r="Z120" i="7"/>
  <c r="Y121" i="7"/>
  <c r="Z121" i="7"/>
  <c r="Z54" i="1"/>
  <c r="Z53" i="1"/>
  <c r="Z153" i="1" s="1"/>
  <c r="Y54" i="1"/>
  <c r="Y158" i="1" s="1"/>
  <c r="Y53" i="1"/>
  <c r="Y153" i="1" s="1"/>
  <c r="Y129" i="7" l="1"/>
  <c r="U129" i="7"/>
  <c r="X129" i="7" s="1"/>
  <c r="Q129" i="7"/>
  <c r="M129" i="7"/>
  <c r="P129" i="7" s="1"/>
  <c r="I129" i="7"/>
  <c r="L129" i="7" s="1"/>
  <c r="E129" i="7"/>
  <c r="H129" i="7" s="1"/>
  <c r="M128" i="7"/>
  <c r="P128" i="7" s="1"/>
  <c r="I128" i="7"/>
  <c r="L128" i="7" s="1"/>
  <c r="H128" i="7"/>
  <c r="F120" i="7"/>
  <c r="G120" i="7"/>
  <c r="H120" i="7"/>
  <c r="I120" i="7"/>
  <c r="J120" i="7"/>
  <c r="K120" i="7"/>
  <c r="L120" i="7"/>
  <c r="M120" i="7"/>
  <c r="N120" i="7"/>
  <c r="O120" i="7"/>
  <c r="P120" i="7"/>
  <c r="Q120" i="7"/>
  <c r="R120" i="7"/>
  <c r="S120" i="7"/>
  <c r="T120" i="7"/>
  <c r="U120" i="7"/>
  <c r="V120" i="7"/>
  <c r="W120" i="7"/>
  <c r="X120" i="7"/>
  <c r="F121" i="7"/>
  <c r="G121" i="7"/>
  <c r="H121" i="7"/>
  <c r="I121" i="7"/>
  <c r="J121" i="7"/>
  <c r="K121" i="7"/>
  <c r="L121" i="7"/>
  <c r="M121" i="7"/>
  <c r="N121" i="7"/>
  <c r="O121" i="7"/>
  <c r="P121" i="7"/>
  <c r="Q121" i="7"/>
  <c r="R121" i="7"/>
  <c r="S121" i="7"/>
  <c r="T121" i="7"/>
  <c r="U121" i="7"/>
  <c r="V121" i="7"/>
  <c r="W121" i="7"/>
  <c r="X121" i="7"/>
  <c r="E121" i="7"/>
  <c r="E120" i="7"/>
  <c r="X128" i="7"/>
  <c r="J128" i="7" l="1"/>
  <c r="Z158" i="1"/>
  <c r="Y159" i="1"/>
  <c r="Z128" i="7"/>
  <c r="AA128" i="7" s="1"/>
  <c r="K128" i="7"/>
  <c r="X130" i="7"/>
  <c r="X126" i="7" s="1"/>
  <c r="H130" i="7"/>
  <c r="H126" i="7" s="1"/>
  <c r="T130" i="7"/>
  <c r="T126" i="7" s="1"/>
  <c r="O128" i="7"/>
  <c r="I130" i="7"/>
  <c r="F128" i="7"/>
  <c r="V128" i="7"/>
  <c r="F129" i="7"/>
  <c r="N129" i="7"/>
  <c r="V129" i="7"/>
  <c r="M130" i="7"/>
  <c r="G128" i="7"/>
  <c r="W128" i="7"/>
  <c r="Q130" i="7"/>
  <c r="L130" i="7"/>
  <c r="N128" i="7"/>
  <c r="S128" i="7"/>
  <c r="J129" i="7"/>
  <c r="J130" i="7" s="1"/>
  <c r="R129" i="7"/>
  <c r="R130" i="7" s="1"/>
  <c r="E130" i="7"/>
  <c r="U130" i="7"/>
  <c r="P130" i="7"/>
  <c r="G129" i="7"/>
  <c r="K129" i="7"/>
  <c r="K130" i="7" s="1"/>
  <c r="O129" i="7"/>
  <c r="S129" i="7"/>
  <c r="W129" i="7"/>
  <c r="AB128" i="7" l="1"/>
  <c r="Z159" i="1"/>
  <c r="Z155" i="1" s="1"/>
  <c r="AA158" i="1"/>
  <c r="G130" i="7"/>
  <c r="G126" i="7" s="1"/>
  <c r="H125" i="7"/>
  <c r="O130" i="7"/>
  <c r="O126" i="7" s="1"/>
  <c r="T125" i="7"/>
  <c r="W130" i="7"/>
  <c r="W125" i="7" s="1"/>
  <c r="Y154" i="1"/>
  <c r="Y155" i="1"/>
  <c r="X125" i="7"/>
  <c r="N130" i="7"/>
  <c r="N125" i="7" s="1"/>
  <c r="R125" i="7"/>
  <c r="R126" i="7"/>
  <c r="P126" i="7"/>
  <c r="P125" i="7"/>
  <c r="L126" i="7"/>
  <c r="L125" i="7"/>
  <c r="J125" i="7"/>
  <c r="J126" i="7"/>
  <c r="Q126" i="7"/>
  <c r="Q125" i="7"/>
  <c r="M126" i="7"/>
  <c r="M125" i="7"/>
  <c r="K126" i="7"/>
  <c r="K125" i="7"/>
  <c r="U126" i="7"/>
  <c r="U125" i="7"/>
  <c r="F130" i="7"/>
  <c r="E126" i="7"/>
  <c r="E125" i="7"/>
  <c r="I126" i="7"/>
  <c r="I125" i="7"/>
  <c r="S130" i="7"/>
  <c r="V130" i="7"/>
  <c r="Z154" i="1" l="1"/>
  <c r="G125" i="7"/>
  <c r="AB158" i="1"/>
  <c r="AB159" i="1" s="1"/>
  <c r="AA159" i="1"/>
  <c r="W126" i="7"/>
  <c r="O125" i="7"/>
  <c r="N126" i="7"/>
  <c r="V125" i="7"/>
  <c r="V126" i="7"/>
  <c r="S126" i="7"/>
  <c r="S125" i="7"/>
  <c r="F125" i="7"/>
  <c r="F126" i="7"/>
  <c r="AI67" i="4"/>
  <c r="AM74" i="4"/>
  <c r="AL74" i="4"/>
  <c r="AK74" i="4"/>
  <c r="AJ74" i="4"/>
  <c r="AI74" i="4"/>
  <c r="AM72" i="4"/>
  <c r="AL72" i="4"/>
  <c r="AK72" i="4"/>
  <c r="AJ72" i="4"/>
  <c r="AI72" i="4"/>
  <c r="AM70" i="4"/>
  <c r="AL70" i="4"/>
  <c r="AK70" i="4"/>
  <c r="AJ70" i="4"/>
  <c r="AI70" i="4"/>
  <c r="AM68" i="4"/>
  <c r="AL68" i="4"/>
  <c r="AK68" i="4"/>
  <c r="AJ68" i="4"/>
  <c r="AI68" i="4"/>
  <c r="AM73" i="4"/>
  <c r="AL73" i="4"/>
  <c r="AK73" i="4"/>
  <c r="AJ73" i="4"/>
  <c r="AI73" i="4"/>
  <c r="AM71" i="4"/>
  <c r="AL71" i="4"/>
  <c r="AK71" i="4"/>
  <c r="AJ71" i="4"/>
  <c r="AI71" i="4"/>
  <c r="AM69" i="4"/>
  <c r="AL69" i="4"/>
  <c r="AK69" i="4"/>
  <c r="AJ69" i="4"/>
  <c r="AI69" i="4"/>
  <c r="AM67" i="4"/>
  <c r="AL67" i="4"/>
  <c r="AK67" i="4"/>
  <c r="AJ67" i="4"/>
  <c r="F75" i="4"/>
  <c r="G75" i="4" s="1"/>
  <c r="H75" i="4" s="1"/>
  <c r="I75" i="4" s="1"/>
  <c r="J75" i="4" s="1"/>
  <c r="K75" i="4" s="1"/>
  <c r="L75" i="4" s="1"/>
  <c r="M75" i="4" s="1"/>
  <c r="N75" i="4" s="1"/>
  <c r="O75" i="4" s="1"/>
  <c r="P75" i="4" s="1"/>
  <c r="Q75" i="4" s="1"/>
  <c r="R75" i="4" s="1"/>
  <c r="S75" i="4" s="1"/>
  <c r="T75" i="4" s="1"/>
  <c r="U75" i="4" s="1"/>
  <c r="V75" i="4" s="1"/>
  <c r="W75" i="4" s="1"/>
  <c r="X75" i="4" s="1"/>
  <c r="Y75" i="4" s="1"/>
  <c r="Z75" i="4" s="1"/>
  <c r="AA75" i="4" s="1"/>
  <c r="AB75" i="4" s="1"/>
  <c r="AC75" i="4" s="1"/>
  <c r="AD75" i="4" s="1"/>
  <c r="AE75" i="4" s="1"/>
  <c r="AF75" i="4" s="1"/>
  <c r="AG75" i="4" s="1"/>
  <c r="AA154" i="1" l="1"/>
  <c r="AA155" i="1"/>
  <c r="AB154" i="1"/>
  <c r="AB155" i="1"/>
  <c r="Z129" i="7"/>
  <c r="Y130" i="7"/>
  <c r="E43" i="4"/>
  <c r="Q55" i="3"/>
  <c r="U55" i="3"/>
  <c r="Z130" i="7" l="1"/>
  <c r="AA129" i="7"/>
  <c r="Y125" i="7"/>
  <c r="Y126" i="7"/>
  <c r="Z126" i="7"/>
  <c r="Z125" i="7"/>
  <c r="F49" i="4"/>
  <c r="G49" i="4"/>
  <c r="H49" i="4"/>
  <c r="I49" i="4"/>
  <c r="E49" i="4"/>
  <c r="AB129" i="7" l="1"/>
  <c r="AB130" i="7" s="1"/>
  <c r="AA130" i="7"/>
  <c r="AH66" i="1"/>
  <c r="AI66" i="1"/>
  <c r="AJ66" i="1"/>
  <c r="AK66" i="1"/>
  <c r="AL66" i="1"/>
  <c r="E56" i="1"/>
  <c r="E156" i="1" s="1"/>
  <c r="AA125" i="7" l="1"/>
  <c r="AA126" i="7"/>
  <c r="AB125" i="7"/>
  <c r="AB126" i="7"/>
  <c r="AH66" i="3"/>
  <c r="AI66" i="3"/>
  <c r="AJ66" i="3"/>
  <c r="AK66" i="3"/>
  <c r="AL66" i="3"/>
  <c r="AH67" i="3"/>
  <c r="AI67" i="3"/>
  <c r="AJ67" i="3"/>
  <c r="AK67" i="3"/>
  <c r="AL67" i="3"/>
  <c r="AH68" i="3"/>
  <c r="AI68" i="3"/>
  <c r="AJ68" i="3"/>
  <c r="AK68" i="3"/>
  <c r="AL68" i="3"/>
  <c r="AH69" i="3"/>
  <c r="AI69" i="3"/>
  <c r="AJ69" i="3"/>
  <c r="AK69" i="3"/>
  <c r="AL69" i="3"/>
  <c r="AH70" i="3"/>
  <c r="AI70" i="3"/>
  <c r="AJ70" i="3"/>
  <c r="AK70" i="3"/>
  <c r="AL70" i="3"/>
  <c r="AH71" i="3"/>
  <c r="AI71" i="3"/>
  <c r="AJ71" i="3"/>
  <c r="AK71" i="3"/>
  <c r="AL71" i="3"/>
  <c r="AH76" i="3"/>
  <c r="AI76" i="3"/>
  <c r="AJ76" i="3"/>
  <c r="AK76" i="3"/>
  <c r="AL76" i="3"/>
  <c r="AH77" i="3"/>
  <c r="AI77" i="3"/>
  <c r="AJ77" i="3"/>
  <c r="AK77" i="3"/>
  <c r="AL77" i="3"/>
  <c r="AH78" i="3"/>
  <c r="AI78" i="3"/>
  <c r="AJ78" i="3"/>
  <c r="AK78" i="3"/>
  <c r="AL78" i="3"/>
  <c r="AH79" i="3"/>
  <c r="AI79" i="3"/>
  <c r="AJ79" i="3"/>
  <c r="AK79" i="3"/>
  <c r="AL79" i="3"/>
  <c r="AH80" i="3"/>
  <c r="AH134" i="3" s="1"/>
  <c r="AI80" i="3"/>
  <c r="AI134" i="3" s="1"/>
  <c r="AJ80" i="3"/>
  <c r="AJ134" i="3" s="1"/>
  <c r="AK80" i="3"/>
  <c r="AK134" i="3" s="1"/>
  <c r="AL80" i="3"/>
  <c r="AL134" i="3" s="1"/>
  <c r="AH81" i="3"/>
  <c r="AH135" i="3" s="1"/>
  <c r="AI81" i="3"/>
  <c r="AI135" i="3" s="1"/>
  <c r="AJ81" i="3"/>
  <c r="AJ135" i="3" s="1"/>
  <c r="AK81" i="3"/>
  <c r="AK135" i="3" s="1"/>
  <c r="AL81" i="3"/>
  <c r="AL135" i="3" s="1"/>
  <c r="AH82" i="3"/>
  <c r="AH136" i="3" s="1"/>
  <c r="AI82" i="3"/>
  <c r="AI136" i="3" s="1"/>
  <c r="AJ82" i="3"/>
  <c r="AJ136" i="3" s="1"/>
  <c r="AK82" i="3"/>
  <c r="AK136" i="3" s="1"/>
  <c r="AL82" i="3"/>
  <c r="AL136" i="3" s="1"/>
  <c r="AH83" i="3"/>
  <c r="AH137" i="3" s="1"/>
  <c r="AI83" i="3"/>
  <c r="AI137" i="3" s="1"/>
  <c r="AJ83" i="3"/>
  <c r="AJ137" i="3" s="1"/>
  <c r="AK83" i="3"/>
  <c r="AK137" i="3" s="1"/>
  <c r="AL83" i="3"/>
  <c r="AL137" i="3" s="1"/>
  <c r="AH64" i="3"/>
  <c r="AI64" i="3"/>
  <c r="AJ64" i="3"/>
  <c r="AK64" i="3"/>
  <c r="AL64" i="3"/>
  <c r="AH65" i="3"/>
  <c r="AI65" i="3"/>
  <c r="AJ65" i="3"/>
  <c r="AK65" i="3"/>
  <c r="AL65" i="3"/>
  <c r="H46" i="3" l="1"/>
  <c r="AK132" i="3"/>
  <c r="E45" i="3"/>
  <c r="AH131" i="3"/>
  <c r="F47" i="3"/>
  <c r="AI133" i="3"/>
  <c r="H45" i="3"/>
  <c r="AK131" i="3"/>
  <c r="E44" i="3"/>
  <c r="AH130" i="3"/>
  <c r="I47" i="3"/>
  <c r="AL133" i="3"/>
  <c r="E47" i="3"/>
  <c r="AH133" i="3"/>
  <c r="F46" i="3"/>
  <c r="AI132" i="3"/>
  <c r="G45" i="3"/>
  <c r="AJ131" i="3"/>
  <c r="H44" i="3"/>
  <c r="AK130" i="3"/>
  <c r="G47" i="3"/>
  <c r="AJ133" i="3"/>
  <c r="I45" i="3"/>
  <c r="AL131" i="3"/>
  <c r="F44" i="3"/>
  <c r="AI130" i="3"/>
  <c r="G46" i="3"/>
  <c r="AJ132" i="3"/>
  <c r="I44" i="3"/>
  <c r="AL130" i="3"/>
  <c r="H47" i="3"/>
  <c r="AK133" i="3"/>
  <c r="I46" i="3"/>
  <c r="AL132" i="3"/>
  <c r="E46" i="3"/>
  <c r="AH132" i="3"/>
  <c r="F45" i="3"/>
  <c r="AI131" i="3"/>
  <c r="G44" i="3"/>
  <c r="AJ130" i="3"/>
  <c r="F52" i="2"/>
  <c r="G52" i="2"/>
  <c r="E52" i="2"/>
  <c r="U75" i="7"/>
  <c r="AL75" i="7" s="1"/>
  <c r="Q75" i="7"/>
  <c r="AK75" i="7" s="1"/>
  <c r="I48" i="7"/>
  <c r="H48" i="7"/>
  <c r="U76" i="7" l="1"/>
  <c r="Q76" i="7"/>
  <c r="M76" i="7"/>
  <c r="I76" i="7"/>
  <c r="E76" i="7"/>
  <c r="U56" i="1"/>
  <c r="Q56" i="1"/>
  <c r="M56" i="1"/>
  <c r="I56" i="1"/>
  <c r="F56" i="1"/>
  <c r="I122" i="7" l="1"/>
  <c r="I127" i="7"/>
  <c r="Q122" i="7"/>
  <c r="Q127" i="7"/>
  <c r="M122" i="7"/>
  <c r="M127" i="7"/>
  <c r="U127" i="7"/>
  <c r="U122" i="7"/>
  <c r="R56" i="1"/>
  <c r="S56" i="1" s="1"/>
  <c r="Q156" i="1"/>
  <c r="V56" i="1"/>
  <c r="V156" i="1" s="1"/>
  <c r="U156" i="1"/>
  <c r="N56" i="1"/>
  <c r="N156" i="1" s="1"/>
  <c r="M156" i="1"/>
  <c r="G56" i="1"/>
  <c r="H56" i="1" s="1"/>
  <c r="H156" i="1" s="1"/>
  <c r="F156" i="1"/>
  <c r="J56" i="1"/>
  <c r="K56" i="1" s="1"/>
  <c r="I156" i="1"/>
  <c r="W56" i="1"/>
  <c r="J156" i="1"/>
  <c r="E127" i="7"/>
  <c r="E122" i="7"/>
  <c r="V76" i="7"/>
  <c r="J76" i="7"/>
  <c r="N76" i="7"/>
  <c r="R76" i="7"/>
  <c r="F76" i="7"/>
  <c r="F51" i="1"/>
  <c r="F53" i="1"/>
  <c r="F153" i="1" s="1"/>
  <c r="G53" i="1"/>
  <c r="G153" i="1" s="1"/>
  <c r="H53" i="1"/>
  <c r="H153" i="1" s="1"/>
  <c r="I53" i="1"/>
  <c r="I153" i="1" s="1"/>
  <c r="J53" i="1"/>
  <c r="J153" i="1" s="1"/>
  <c r="K53" i="1"/>
  <c r="K153" i="1" s="1"/>
  <c r="L53" i="1"/>
  <c r="L153" i="1" s="1"/>
  <c r="M53" i="1"/>
  <c r="M153" i="1" s="1"/>
  <c r="N53" i="1"/>
  <c r="N153" i="1" s="1"/>
  <c r="O53" i="1"/>
  <c r="O153" i="1" s="1"/>
  <c r="P53" i="1"/>
  <c r="P153" i="1" s="1"/>
  <c r="Q53" i="1"/>
  <c r="Q153" i="1" s="1"/>
  <c r="R53" i="1"/>
  <c r="R153" i="1" s="1"/>
  <c r="S53" i="1"/>
  <c r="S153" i="1" s="1"/>
  <c r="T53" i="1"/>
  <c r="T153" i="1" s="1"/>
  <c r="U53" i="1"/>
  <c r="U153" i="1" s="1"/>
  <c r="V53" i="1"/>
  <c r="V153" i="1" s="1"/>
  <c r="W53" i="1"/>
  <c r="W153" i="1" s="1"/>
  <c r="X53" i="1"/>
  <c r="X153" i="1" s="1"/>
  <c r="F54" i="1"/>
  <c r="G54" i="1"/>
  <c r="H54" i="1"/>
  <c r="I54" i="1"/>
  <c r="J54" i="1"/>
  <c r="K54" i="1"/>
  <c r="L54" i="1"/>
  <c r="M54" i="1"/>
  <c r="N54" i="1"/>
  <c r="O54" i="1"/>
  <c r="P54" i="1"/>
  <c r="Q54" i="1"/>
  <c r="R54" i="1"/>
  <c r="S54" i="1"/>
  <c r="T54" i="1"/>
  <c r="U54" i="1"/>
  <c r="V54" i="1"/>
  <c r="W54" i="1"/>
  <c r="X54" i="1"/>
  <c r="E54" i="1"/>
  <c r="E53" i="1"/>
  <c r="E153" i="1" s="1"/>
  <c r="F53" i="7"/>
  <c r="E47" i="7"/>
  <c r="F47" i="7"/>
  <c r="G47" i="7"/>
  <c r="H47" i="7"/>
  <c r="I47" i="7"/>
  <c r="E46" i="7"/>
  <c r="F46" i="7"/>
  <c r="G46" i="7"/>
  <c r="H46" i="7"/>
  <c r="I46" i="7"/>
  <c r="E45" i="7"/>
  <c r="I45" i="7"/>
  <c r="H45" i="7"/>
  <c r="G45" i="7"/>
  <c r="F45" i="7"/>
  <c r="G53" i="4"/>
  <c r="G51" i="1" l="1"/>
  <c r="H51" i="1" s="1"/>
  <c r="I51" i="1" s="1"/>
  <c r="J51" i="1" s="1"/>
  <c r="K51" i="1" s="1"/>
  <c r="L51" i="1" s="1"/>
  <c r="M51" i="1" s="1"/>
  <c r="N51" i="1" s="1"/>
  <c r="O51" i="1" s="1"/>
  <c r="P51" i="1" s="1"/>
  <c r="Q51" i="1" s="1"/>
  <c r="R51" i="1" s="1"/>
  <c r="S51" i="1" s="1"/>
  <c r="T51" i="1" s="1"/>
  <c r="U51" i="1" s="1"/>
  <c r="V51" i="1" s="1"/>
  <c r="W51" i="1" s="1"/>
  <c r="X51" i="1" s="1"/>
  <c r="Y51" i="1" s="1"/>
  <c r="Z51" i="1" s="1"/>
  <c r="AA51" i="1" s="1"/>
  <c r="AB51" i="1" s="1"/>
  <c r="AC51" i="1" s="1"/>
  <c r="AD51" i="1" s="1"/>
  <c r="AE51" i="1" s="1"/>
  <c r="AF51" i="1" s="1"/>
  <c r="O56" i="1"/>
  <c r="O156" i="1" s="1"/>
  <c r="V122" i="7"/>
  <c r="V127" i="7"/>
  <c r="R122" i="7"/>
  <c r="R127" i="7"/>
  <c r="N127" i="7"/>
  <c r="N122" i="7"/>
  <c r="F122" i="7"/>
  <c r="F127" i="7"/>
  <c r="J127" i="7"/>
  <c r="J122" i="7"/>
  <c r="R156" i="1"/>
  <c r="G156" i="1"/>
  <c r="E158" i="1"/>
  <c r="U158" i="1"/>
  <c r="Q158" i="1"/>
  <c r="M158" i="1"/>
  <c r="I158" i="1"/>
  <c r="H53" i="4"/>
  <c r="I53" i="4" s="1"/>
  <c r="J53" i="4" s="1"/>
  <c r="K53" i="4" s="1"/>
  <c r="L53" i="4" s="1"/>
  <c r="M53" i="4" s="1"/>
  <c r="N53" i="4" s="1"/>
  <c r="O53" i="4" s="1"/>
  <c r="P53" i="4" s="1"/>
  <c r="Q53" i="4" s="1"/>
  <c r="R53" i="4" s="1"/>
  <c r="S53" i="4" s="1"/>
  <c r="T53" i="4" s="1"/>
  <c r="U53" i="4" s="1"/>
  <c r="V53" i="4" s="1"/>
  <c r="W53" i="4" s="1"/>
  <c r="X53" i="4" s="1"/>
  <c r="Y53" i="4" s="1"/>
  <c r="Z53" i="4" s="1"/>
  <c r="AA53" i="4" s="1"/>
  <c r="AB53" i="4" s="1"/>
  <c r="AC53" i="4" s="1"/>
  <c r="G53" i="7"/>
  <c r="H53" i="7" s="1"/>
  <c r="I53" i="7" s="1"/>
  <c r="J53" i="7" s="1"/>
  <c r="K53" i="7" s="1"/>
  <c r="L53" i="7" s="1"/>
  <c r="M53" i="7" s="1"/>
  <c r="N53" i="7" s="1"/>
  <c r="O53" i="7" s="1"/>
  <c r="P53" i="7" s="1"/>
  <c r="Q53" i="7" s="1"/>
  <c r="R53" i="7" s="1"/>
  <c r="S53" i="7" s="1"/>
  <c r="T53" i="7" s="1"/>
  <c r="U53" i="7" s="1"/>
  <c r="V53" i="7" s="1"/>
  <c r="W53" i="7" s="1"/>
  <c r="X53" i="7" s="1"/>
  <c r="Y53" i="7" s="1"/>
  <c r="Z53" i="7" s="1"/>
  <c r="P56" i="1"/>
  <c r="P156" i="1" s="1"/>
  <c r="L56" i="1"/>
  <c r="L156" i="1" s="1"/>
  <c r="K156" i="1"/>
  <c r="T56" i="1"/>
  <c r="T156" i="1" s="1"/>
  <c r="S156" i="1"/>
  <c r="X56" i="1"/>
  <c r="W156" i="1"/>
  <c r="G76" i="7"/>
  <c r="S76" i="7"/>
  <c r="K76" i="7"/>
  <c r="O76" i="7"/>
  <c r="W76" i="7"/>
  <c r="I48" i="1"/>
  <c r="U55" i="1" s="1"/>
  <c r="H48" i="1"/>
  <c r="Q55" i="1" s="1"/>
  <c r="G48" i="1"/>
  <c r="M55" i="1" s="1"/>
  <c r="F48" i="1"/>
  <c r="I55" i="1" s="1"/>
  <c r="E48" i="1"/>
  <c r="E55" i="1" s="1"/>
  <c r="F49" i="3"/>
  <c r="P23" i="1" l="1"/>
  <c r="P33" i="1"/>
  <c r="P20" i="1"/>
  <c r="P29" i="1"/>
  <c r="K127" i="7"/>
  <c r="K122" i="7"/>
  <c r="S127" i="7"/>
  <c r="S122" i="7"/>
  <c r="W127" i="7"/>
  <c r="W122" i="7"/>
  <c r="G127" i="7"/>
  <c r="G122" i="7"/>
  <c r="O127" i="7"/>
  <c r="O122" i="7"/>
  <c r="AA53" i="7"/>
  <c r="AB53" i="7" s="1"/>
  <c r="G49" i="3"/>
  <c r="H49" i="3" s="1"/>
  <c r="I49" i="3" s="1"/>
  <c r="J49" i="3" s="1"/>
  <c r="K49" i="3" s="1"/>
  <c r="L49" i="3" s="1"/>
  <c r="M49" i="3" s="1"/>
  <c r="N49" i="3" s="1"/>
  <c r="O49" i="3" s="1"/>
  <c r="P49" i="3" s="1"/>
  <c r="Q49" i="3" s="1"/>
  <c r="R49" i="3" s="1"/>
  <c r="S49" i="3" s="1"/>
  <c r="T49" i="3" s="1"/>
  <c r="U49" i="3" s="1"/>
  <c r="V49" i="3" s="1"/>
  <c r="W49" i="3" s="1"/>
  <c r="X49" i="3" s="1"/>
  <c r="Y49" i="3" s="1"/>
  <c r="Z49" i="3" s="1"/>
  <c r="AA49" i="3" s="1"/>
  <c r="AB49" i="3" s="1"/>
  <c r="AC49" i="3" s="1"/>
  <c r="AD49" i="3" s="1"/>
  <c r="AE49" i="3" s="1"/>
  <c r="AF49" i="3" s="1"/>
  <c r="V158" i="1"/>
  <c r="V159" i="1" s="1"/>
  <c r="W158" i="1"/>
  <c r="W159" i="1" s="1"/>
  <c r="X158" i="1"/>
  <c r="X159" i="1" s="1"/>
  <c r="U159" i="1"/>
  <c r="N158" i="1"/>
  <c r="N159" i="1" s="1"/>
  <c r="O158" i="1"/>
  <c r="O159" i="1" s="1"/>
  <c r="P158" i="1"/>
  <c r="P159" i="1" s="1"/>
  <c r="M159" i="1"/>
  <c r="F158" i="1"/>
  <c r="F159" i="1" s="1"/>
  <c r="G158" i="1"/>
  <c r="G159" i="1" s="1"/>
  <c r="H158" i="1"/>
  <c r="H159" i="1" s="1"/>
  <c r="E159" i="1"/>
  <c r="R158" i="1"/>
  <c r="R159" i="1" s="1"/>
  <c r="R154" i="1" s="1"/>
  <c r="R155" i="1" s="1"/>
  <c r="T158" i="1"/>
  <c r="T159" i="1" s="1"/>
  <c r="S158" i="1"/>
  <c r="S159" i="1" s="1"/>
  <c r="S154" i="1" s="1"/>
  <c r="S155" i="1" s="1"/>
  <c r="Q159" i="1"/>
  <c r="Q154" i="1" s="1"/>
  <c r="Q155" i="1" s="1"/>
  <c r="J158" i="1"/>
  <c r="J159" i="1" s="1"/>
  <c r="L158" i="1"/>
  <c r="L159" i="1" s="1"/>
  <c r="K158" i="1"/>
  <c r="K159" i="1" s="1"/>
  <c r="I159" i="1"/>
  <c r="X156" i="1"/>
  <c r="P76" i="7"/>
  <c r="T76" i="7"/>
  <c r="X76" i="7"/>
  <c r="L76" i="7"/>
  <c r="H76" i="7"/>
  <c r="I47" i="1"/>
  <c r="I46" i="1"/>
  <c r="H47" i="1"/>
  <c r="H46" i="1"/>
  <c r="G47" i="1"/>
  <c r="G46" i="1"/>
  <c r="F47" i="1"/>
  <c r="F46" i="1"/>
  <c r="E47" i="1"/>
  <c r="E46" i="1"/>
  <c r="P24" i="3" l="1"/>
  <c r="O24" i="3"/>
  <c r="P19" i="3"/>
  <c r="P13" i="3"/>
  <c r="O11" i="3"/>
  <c r="O26" i="3"/>
  <c r="P21" i="3"/>
  <c r="O21" i="3"/>
  <c r="O19" i="3"/>
  <c r="O13" i="3"/>
  <c r="P11" i="3"/>
  <c r="P26" i="3"/>
  <c r="T122" i="7"/>
  <c r="T127" i="7"/>
  <c r="H122" i="7"/>
  <c r="H127" i="7"/>
  <c r="P122" i="7"/>
  <c r="P127" i="7"/>
  <c r="L122" i="7"/>
  <c r="L127" i="7"/>
  <c r="X122" i="7"/>
  <c r="X127" i="7"/>
  <c r="I155" i="1"/>
  <c r="I154" i="1"/>
  <c r="E154" i="1"/>
  <c r="E155" i="1"/>
  <c r="M155" i="1"/>
  <c r="M154" i="1"/>
  <c r="U154" i="1"/>
  <c r="U155" i="1"/>
  <c r="K155" i="1"/>
  <c r="K154" i="1"/>
  <c r="H155" i="1"/>
  <c r="H154" i="1"/>
  <c r="P154" i="1"/>
  <c r="P155" i="1"/>
  <c r="X155" i="1"/>
  <c r="X154" i="1"/>
  <c r="L155" i="1"/>
  <c r="L154" i="1"/>
  <c r="G155" i="1"/>
  <c r="G154" i="1"/>
  <c r="O154" i="1"/>
  <c r="O155" i="1"/>
  <c r="W154" i="1"/>
  <c r="W155" i="1"/>
  <c r="J155" i="1"/>
  <c r="J154" i="1"/>
  <c r="F154" i="1"/>
  <c r="F155" i="1"/>
  <c r="N154" i="1"/>
  <c r="N155" i="1"/>
  <c r="V155" i="1"/>
  <c r="V154" i="1"/>
  <c r="Y156" i="1"/>
  <c r="Z56" i="1"/>
  <c r="AH76" i="7"/>
  <c r="AL76" i="7"/>
  <c r="AI76" i="7"/>
  <c r="AK76" i="7"/>
  <c r="AJ76" i="7"/>
  <c r="B43" i="2"/>
  <c r="B44" i="2" s="1"/>
  <c r="B45" i="2" s="1"/>
  <c r="B48" i="2" s="1"/>
  <c r="B49" i="2" s="1"/>
  <c r="B50" i="2" s="1"/>
  <c r="B51" i="2" s="1"/>
  <c r="Z156" i="1" l="1"/>
  <c r="AA56" i="1"/>
  <c r="D24" i="3"/>
  <c r="E24" i="3"/>
  <c r="F24" i="3"/>
  <c r="G24" i="3"/>
  <c r="H24" i="3"/>
  <c r="D26" i="3"/>
  <c r="E56" i="3" s="1"/>
  <c r="F56" i="3" s="1"/>
  <c r="G56" i="3" s="1"/>
  <c r="H56" i="3" s="1"/>
  <c r="E26" i="3"/>
  <c r="I56" i="3" s="1"/>
  <c r="J56" i="3" s="1"/>
  <c r="K56" i="3" s="1"/>
  <c r="L56" i="3" s="1"/>
  <c r="F26" i="3"/>
  <c r="M56" i="3" s="1"/>
  <c r="N56" i="3" s="1"/>
  <c r="O56" i="3" s="1"/>
  <c r="P56" i="3" s="1"/>
  <c r="G26" i="3"/>
  <c r="Q56" i="3" s="1"/>
  <c r="R56" i="3" s="1"/>
  <c r="S56" i="3" s="1"/>
  <c r="T56" i="3" s="1"/>
  <c r="H26" i="3"/>
  <c r="U56" i="3" s="1"/>
  <c r="V56" i="3" s="1"/>
  <c r="W56" i="3" s="1"/>
  <c r="X56" i="3" s="1"/>
  <c r="AB56" i="1" l="1"/>
  <c r="AA156" i="1"/>
  <c r="AB156" i="1" l="1"/>
  <c r="AD56" i="1" l="1"/>
  <c r="AC156" i="1"/>
  <c r="AE56" i="1" l="1"/>
  <c r="AD156" i="1"/>
  <c r="AF56" i="1" l="1"/>
  <c r="AF156" i="1" s="1"/>
  <c r="AE156" i="1"/>
</calcChain>
</file>

<file path=xl/comments1.xml><?xml version="1.0" encoding="utf-8"?>
<comments xmlns="http://schemas.openxmlformats.org/spreadsheetml/2006/main">
  <authors>
    <author>Céline NIEMIETZ</author>
  </authors>
  <commentList>
    <comment ref="I142" authorId="0" shapeId="0">
      <text>
        <r>
          <rPr>
            <b/>
            <sz val="9"/>
            <color indexed="81"/>
            <rFont val="Tahoma"/>
            <family val="2"/>
          </rPr>
          <t>Céline NIEMIETZ:</t>
        </r>
        <r>
          <rPr>
            <sz val="9"/>
            <color indexed="81"/>
            <rFont val="Tahoma"/>
            <family val="2"/>
          </rPr>
          <t xml:space="preserve">
Sait d’où ça vient </t>
        </r>
      </text>
    </comment>
  </commentList>
</comments>
</file>

<file path=xl/comments2.xml><?xml version="1.0" encoding="utf-8"?>
<comments xmlns="http://schemas.openxmlformats.org/spreadsheetml/2006/main">
  <authors>
    <author>Céline NIEMIETZ</author>
  </authors>
  <commentList>
    <comment ref="L10" authorId="0" shapeId="0">
      <text>
        <r>
          <rPr>
            <b/>
            <sz val="9"/>
            <color indexed="81"/>
            <rFont val="Tahoma"/>
            <family val="2"/>
          </rPr>
          <t>Céline NIEMIETZ:</t>
        </r>
        <r>
          <rPr>
            <sz val="9"/>
            <color indexed="81"/>
            <rFont val="Tahoma"/>
            <family val="2"/>
          </rPr>
          <t xml:space="preserve">
Dispose-t-on du prix UE Longe? </t>
        </r>
      </text>
    </comment>
    <comment ref="K25" authorId="0" shapeId="0">
      <text>
        <r>
          <rPr>
            <b/>
            <sz val="9"/>
            <color indexed="81"/>
            <rFont val="Tahoma"/>
            <family val="2"/>
          </rPr>
          <t>Céline NIEMIETZ:</t>
        </r>
        <r>
          <rPr>
            <sz val="9"/>
            <color indexed="81"/>
            <rFont val="Tahoma"/>
            <family val="2"/>
          </rPr>
          <t xml:space="preserve">
Non-rétropolé</t>
        </r>
      </text>
    </comment>
  </commentList>
</comments>
</file>

<file path=xl/comments3.xml><?xml version="1.0" encoding="utf-8"?>
<comments xmlns="http://schemas.openxmlformats.org/spreadsheetml/2006/main">
  <authors>
    <author>Céline NIEMIETZ</author>
  </authors>
  <commentList>
    <comment ref="J9" authorId="0" shapeId="0">
      <text>
        <r>
          <rPr>
            <b/>
            <sz val="9"/>
            <color indexed="81"/>
            <rFont val="Tahoma"/>
            <family val="2"/>
          </rPr>
          <t>Céline NIEMIETZ:</t>
        </r>
        <r>
          <rPr>
            <sz val="9"/>
            <color indexed="81"/>
            <rFont val="Tahoma"/>
            <family val="2"/>
          </rPr>
          <t xml:space="preserve">
FAM ne produit pas cette donnée en 2019 : insatisafait des calculs. </t>
        </r>
      </text>
    </comment>
  </commentList>
</comments>
</file>

<file path=xl/sharedStrings.xml><?xml version="1.0" encoding="utf-8"?>
<sst xmlns="http://schemas.openxmlformats.org/spreadsheetml/2006/main" count="1600" uniqueCount="405">
  <si>
    <t>France</t>
  </si>
  <si>
    <t>Année</t>
  </si>
  <si>
    <t>Indicateur</t>
  </si>
  <si>
    <t>unité</t>
  </si>
  <si>
    <t>Production en volume (2)</t>
  </si>
  <si>
    <t>1 000 tec (1)</t>
  </si>
  <si>
    <t>Production en valeur (3)</t>
  </si>
  <si>
    <t>à venir</t>
  </si>
  <si>
    <t>Consommation en volume (4)</t>
  </si>
  <si>
    <t>1 000 tec</t>
  </si>
  <si>
    <t>Consommation en valeur (5)</t>
  </si>
  <si>
    <t>ménages</t>
  </si>
  <si>
    <t>Prix de gros</t>
  </si>
  <si>
    <t>€/kg</t>
  </si>
  <si>
    <t>Proxy (6)</t>
  </si>
  <si>
    <t>vache R (7)</t>
  </si>
  <si>
    <t>génisse U (8)</t>
  </si>
  <si>
    <t>Prix de détail (9)</t>
  </si>
  <si>
    <t>(1) tec = tonnes équivalent carcasse</t>
  </si>
  <si>
    <t>Union Européenne</t>
  </si>
  <si>
    <t>Année (1)</t>
  </si>
  <si>
    <t>Proxy</t>
  </si>
  <si>
    <t>Consommation en valeur</t>
  </si>
  <si>
    <t>n.d.</t>
  </si>
  <si>
    <t>Prix de gros (5)</t>
  </si>
  <si>
    <t>Proxy</t>
  </si>
  <si>
    <t>Prix de détail (6)</t>
  </si>
  <si>
    <t>indice</t>
  </si>
  <si>
    <r>
      <t>(4)  Consommation indigène brute de viande de gros bovin et viande de veau calculée par bilan = (abattages gros bovins + veaux)+(importations de viande bovine)-(exportations de viande bovine) -</t>
    </r>
    <r>
      <rPr>
        <i/>
        <sz val="11"/>
        <color rgb="FF000000"/>
        <rFont val="Calibri"/>
        <family val="2"/>
        <charset val="1"/>
      </rPr>
      <t>source FranceAgriMer d'après Commission européenne</t>
    </r>
  </si>
  <si>
    <t>(5) Poxy : prix calculé à partir de la valeur et du volume de la production commercialisée de viande bovine fraîche ou congelée en carcasses, demi-carcasses, quartiers ou morceaux - source Agreste/SSP Enquête Prodcom</t>
  </si>
  <si>
    <r>
      <t>(6) Indice harmonisé de prix à la consommation (base 100 = 2015) pour la viande de bœuf et de veau. Pas de données globales UE avant 2017 -</t>
    </r>
    <r>
      <rPr>
        <i/>
        <sz val="11"/>
        <color rgb="FF000000"/>
        <rFont val="Calibri"/>
        <family val="2"/>
        <charset val="1"/>
      </rPr>
      <t>source Commission européenne "Food price monitoring tool"</t>
    </r>
  </si>
  <si>
    <t>Suivi des flux français et européens de viande bovine avec le Canada</t>
  </si>
  <si>
    <t>UE</t>
  </si>
  <si>
    <t>Suivi des flux français et européens de volaille avec le Canada</t>
  </si>
  <si>
    <r>
      <t>(6) Indice harmonisé de prix à la consommation (base 100 = 2015) pour la volaille. Pas de données globales UE avant 2017 -</t>
    </r>
    <r>
      <rPr>
        <i/>
        <sz val="11"/>
        <color rgb="FF000000"/>
        <rFont val="Calibri"/>
        <family val="2"/>
        <charset val="1"/>
      </rPr>
      <t>source Commission européenne "Food price monitoring tool"</t>
    </r>
  </si>
  <si>
    <r>
      <t>(4)  Consommation indigène brute de volaille de chair calculée par bilan = (abattages )+(importations de viande de volaille)-(exportations de viande de volaille) -</t>
    </r>
    <r>
      <rPr>
        <i/>
        <sz val="11"/>
        <color rgb="FF000000"/>
        <rFont val="Calibri"/>
        <family val="2"/>
        <charset val="1"/>
      </rPr>
      <t>source FranceAgriMer d'après Commission européenne</t>
    </r>
  </si>
  <si>
    <t>(7) Indicateur Poulet PAC frais sur le MIN de Rungis - source RNM</t>
  </si>
  <si>
    <t>Prix de détail (8)</t>
  </si>
  <si>
    <t>Poulet PAC frais (7)</t>
  </si>
  <si>
    <t>€/kg carcasse</t>
  </si>
  <si>
    <t>conso. ménages</t>
  </si>
  <si>
    <t>Suivi des flux français et européens de sucre avec le Canada</t>
  </si>
  <si>
    <r>
      <t>(6) Les Etats Membres communiquent à la Commission européenne, de manière mensuelle, les prix de vente du sucre sur leur propre marché, par une enquête auprès des industriels pour suivre le même règlement que celui portant sur la production.  Il s'agit d'une moyenne pondérée par les quantités pour du sucre en vrac départ usine. Avant la fin des quotas, c'est à dire jusqu'à la campagne 2016/17 incluse, la Commission européenne publiait la moyenne pondérée des prix du sucre pour l'UE, lors des Comités de Gestion (grandes cultures) chaque mois avec une distinction entre sucre quota (en gros, alimentaire) et sucre hors quota (industrie). Depuis la campagne 2017/18, La CE publie une moyenne mensuelle des prix (pondérés) plus resserrée, par régions de pays (en plus de la moyenne UE) :      R1: AT-CZ-DK-FI-HU-LT-PL-SE-SK, R2: BE-DE-FR-UK-NL,  R3: BG-ES-GR-HR-IT-PT-RO.  -</t>
    </r>
    <r>
      <rPr>
        <i/>
        <sz val="11"/>
        <color rgb="FF000000"/>
        <rFont val="Calibri"/>
        <family val="2"/>
        <charset val="1"/>
      </rPr>
      <t>source Commission européenne/DGAGRI à partir de 2017/18.</t>
    </r>
  </si>
  <si>
    <r>
      <t>(5) Valeur obtenue en multipliant la consommation en volume par le prix de gros -</t>
    </r>
    <r>
      <rPr>
        <i/>
        <sz val="11"/>
        <color rgb="FF000000"/>
        <rFont val="Calibri"/>
        <family val="2"/>
        <charset val="1"/>
      </rPr>
      <t>calcul FranceAgriMer d'après Commission Européenne/DGAGRI</t>
    </r>
  </si>
  <si>
    <t>(1) Toutes les sources de données sur le sucre se réfèrent à des campagnes commerciales réglementaires sauf celles portant sur le prix de détail. Ainsi, les données de production, de consommation et de prix de gros de la campagne N/N+1 correspondent à la période allant d'octobre N jusqu'à septembre N+1.  En ce qui concerne les prix de détail qui sont produites en année calendaire, les données de l'année N+1 sont attribuée à la campagne N/N+1.</t>
  </si>
  <si>
    <t>Prix de détail (7)</t>
  </si>
  <si>
    <t>€/tonne</t>
  </si>
  <si>
    <t>Prix de gros (6)</t>
  </si>
  <si>
    <t>1 000 t</t>
  </si>
  <si>
    <t>2018/19</t>
  </si>
  <si>
    <t>2017/18</t>
  </si>
  <si>
    <t>2016/17</t>
  </si>
  <si>
    <t>2015/16</t>
  </si>
  <si>
    <t>2014/154</t>
  </si>
  <si>
    <t>2013/14</t>
  </si>
  <si>
    <t>(1) Toutes les sources de données sur le sucre se réfèrent à des campagnes commerciales réglementaires, sauf celles portant sur le prix de détail. Ainsi, les données de production, de consommation et de prix de gros de la campagne N/N+1 correspondent à la période allant d'octobre N jusqu'à septembre N+1.  En ce qui concerne les prix de détail qui sont produits en année calendaire, les données de l'année N+1 sont attribuée à la campagne N/N+1.</t>
  </si>
  <si>
    <t>USA</t>
  </si>
  <si>
    <t>cotations CBOT hebdomadaires (Platts)</t>
  </si>
  <si>
    <t>Ethanol CBOT</t>
  </si>
  <si>
    <t>BRESIL</t>
  </si>
  <si>
    <t>cotations hebdomadaires Indicador Semanal Álcool Combustível CEPEA</t>
  </si>
  <si>
    <t>Ethanol CEPEA</t>
  </si>
  <si>
    <t>cotations hebdomadaires Ethanol FOB Rotterdam T2 (Platts)</t>
  </si>
  <si>
    <t>Ethanol UE</t>
  </si>
  <si>
    <t>cotations hebdomadaires Platts Eurobob (Platts)</t>
  </si>
  <si>
    <t xml:space="preserve">Essence UE </t>
  </si>
  <si>
    <t>en €/m3</t>
  </si>
  <si>
    <t>Canada</t>
  </si>
  <si>
    <t>Origine</t>
  </si>
  <si>
    <t>Destination</t>
  </si>
  <si>
    <t>Monde</t>
  </si>
  <si>
    <t>tonnes équivalent carcasse (tec)</t>
  </si>
  <si>
    <t>France (2)</t>
  </si>
  <si>
    <t>Flux d'importation et d'exportation</t>
  </si>
  <si>
    <t>Contingents</t>
  </si>
  <si>
    <t>Numéro</t>
  </si>
  <si>
    <t>Contingent</t>
  </si>
  <si>
    <t>Type</t>
  </si>
  <si>
    <t>09.4002</t>
  </si>
  <si>
    <t>PAPS</t>
  </si>
  <si>
    <t>09.4280</t>
  </si>
  <si>
    <t>09.4281</t>
  </si>
  <si>
    <t>Viande de bison</t>
  </si>
  <si>
    <t>Viande bovine, autre que bison, congelée</t>
  </si>
  <si>
    <t>Viande bovine, autre que bison, fraîche ou réfrigérée</t>
  </si>
  <si>
    <t>License</t>
  </si>
  <si>
    <t>Panel "hormone" ouvert pour 6 pays (Canada, Australie, Nouvelle-Zélande, États-Unis, Uruguay, Argentine)</t>
  </si>
  <si>
    <t>Consommation FR</t>
  </si>
  <si>
    <t>Consommation UE</t>
  </si>
  <si>
    <t>Viande de porc (1)</t>
  </si>
  <si>
    <t>Jambon (2)</t>
  </si>
  <si>
    <t>09.4282</t>
  </si>
  <si>
    <t>Viandes des animaux de l'espèce porcine, fraîches, réfrigérées ou congelées, jambons, épaules et leurs morceaux</t>
  </si>
  <si>
    <t>09.8300</t>
  </si>
  <si>
    <t>09.7301</t>
  </si>
  <si>
    <t>09.8302</t>
  </si>
  <si>
    <t>Matières pectiques/ Poudre de cacao (1302)</t>
  </si>
  <si>
    <t>Sucreries sans cacao / Chocolat et autres préparations alimentaires contenant du cacao (1701/1704/1806)</t>
  </si>
  <si>
    <t xml:space="preserve">Produits de la boulangerie, de la pâtisserie ou de la biscuiterie / Isoglucose et autres sirops de sucres (1905/2106)
</t>
  </si>
  <si>
    <t>Volaille</t>
  </si>
  <si>
    <t>2014 - T1</t>
  </si>
  <si>
    <t>2014 - T2</t>
  </si>
  <si>
    <t>2015 - T1</t>
  </si>
  <si>
    <t>2015 - T2</t>
  </si>
  <si>
    <t>2014 - T3</t>
  </si>
  <si>
    <t>2014 - T4</t>
  </si>
  <si>
    <t>2015 - T3</t>
  </si>
  <si>
    <t>2015 - T4</t>
  </si>
  <si>
    <t>2016 - T1</t>
  </si>
  <si>
    <t>2016 - T2</t>
  </si>
  <si>
    <t>2016 - T3</t>
  </si>
  <si>
    <t>2016 - T4</t>
  </si>
  <si>
    <t>2017 - T1</t>
  </si>
  <si>
    <t>2017 - T2</t>
  </si>
  <si>
    <t>2017 - T3</t>
  </si>
  <si>
    <t>2017 - T4</t>
  </si>
  <si>
    <t>2018 - T1</t>
  </si>
  <si>
    <t>2018 - T2</t>
  </si>
  <si>
    <t>2018 - T3</t>
  </si>
  <si>
    <t>2018 - T4</t>
  </si>
  <si>
    <t>Détail trimestriel des flux d'importation et d'exportation</t>
  </si>
  <si>
    <t>Résumé des flux UE-Canada</t>
  </si>
  <si>
    <t>Exportations</t>
  </si>
  <si>
    <t>Importations totales</t>
  </si>
  <si>
    <t>Importations sous contingent</t>
  </si>
  <si>
    <t>Exportations de jambon</t>
  </si>
  <si>
    <t>Exportations de sucre</t>
  </si>
  <si>
    <t>Exportations de produits sucrés</t>
  </si>
  <si>
    <t>Importations de sucre</t>
  </si>
  <si>
    <t>Importations de produits sucrés</t>
  </si>
  <si>
    <t>M€</t>
  </si>
  <si>
    <t>Importations</t>
  </si>
  <si>
    <t>MhL</t>
  </si>
  <si>
    <t>Etats-Unis</t>
  </si>
  <si>
    <t xml:space="preserve">Proxy </t>
  </si>
  <si>
    <t xml:space="preserve">1 000 tec </t>
  </si>
  <si>
    <t xml:space="preserve">Prix de gros </t>
  </si>
  <si>
    <t xml:space="preserve"> longe (7)</t>
  </si>
  <si>
    <t>jambon (7)</t>
  </si>
  <si>
    <t>longe</t>
  </si>
  <si>
    <t>jambon</t>
  </si>
  <si>
    <t>(8) Indicateurs de prix payé par les ménages pour leur achats pour consommation à domicile de longe fraîche de porc et de jambon</t>
  </si>
  <si>
    <t xml:space="preserve">Consommation en valeur </t>
  </si>
  <si>
    <r>
      <t xml:space="preserve">(3) Production commercialisée de viande porcine fraîche et congelée - </t>
    </r>
    <r>
      <rPr>
        <i/>
        <sz val="11"/>
        <color theme="1"/>
        <rFont val="Calibri"/>
        <family val="2"/>
        <scheme val="minor"/>
      </rPr>
      <t>source Commission européenne</t>
    </r>
  </si>
  <si>
    <r>
      <t xml:space="preserve">(4)  Consommation indigène brute de viande de porc (hors abats) calculée par bilan = (abattages porcins)+(importations de viande porcine)-(exportations de viande porcine) - </t>
    </r>
    <r>
      <rPr>
        <i/>
        <sz val="11"/>
        <color theme="1"/>
        <rFont val="Calibri"/>
        <family val="2"/>
        <scheme val="minor"/>
      </rPr>
      <t>source FranceAgriMer d'après Commission européenne</t>
    </r>
  </si>
  <si>
    <r>
      <t xml:space="preserve">(6) Indice harmonisé de prix à la consommation (base 100 = 2015) pour la viande de porc. Pas de données globales UE avant 2017 - </t>
    </r>
    <r>
      <rPr>
        <i/>
        <sz val="11"/>
        <color theme="1"/>
        <rFont val="Calibri"/>
        <family val="2"/>
        <scheme val="minor"/>
      </rPr>
      <t>source Commission européenne "Food price monitoring tool"</t>
    </r>
  </si>
  <si>
    <t>Source : Eurostat</t>
  </si>
  <si>
    <t>Source : FranceAgriMer et Eurostat (pour les contingents)</t>
  </si>
  <si>
    <t>Coeffcient conversion éthanol : 1 Mhl = 80 000 t</t>
  </si>
  <si>
    <t>tonnes équivalent carcasse (téc)</t>
  </si>
  <si>
    <t>09.4038 (erga omnes)</t>
  </si>
  <si>
    <t>longes et jambons désossés frais, réfrigérés ou congelés (taxation 250 euros/t)</t>
  </si>
  <si>
    <t>Montant (en t)</t>
  </si>
  <si>
    <t>09.0118 (erga omnes)</t>
  </si>
  <si>
    <t>Filet frais, réfrigéré ou congelé (taxation 300 euros/t)</t>
  </si>
  <si>
    <t>non connue</t>
  </si>
  <si>
    <t>09.0123 (erga omnes)</t>
  </si>
  <si>
    <t>Morceaux frais, réfrigérés ou congelés, désossés et non désossés, à l’exception de filets, présentés seuls (taxation 233 à 434 euros/ t)</t>
  </si>
  <si>
    <t>09.0122 (erga omnes)</t>
  </si>
  <si>
    <t>Carcasses ou demi-carcasses fraîches, réfrigérées ou congelées (268 euros/t)</t>
  </si>
  <si>
    <t>CAN --&gt; UE</t>
  </si>
  <si>
    <t>CAN --&gt; FR</t>
  </si>
  <si>
    <t>Monde --&gt; UE</t>
  </si>
  <si>
    <t>Monde --&gt; FR</t>
  </si>
  <si>
    <t>Monde --&gt; UE (part CAN inconnue)</t>
  </si>
  <si>
    <t>(3) 0207 4300 et 0207 5300</t>
  </si>
  <si>
    <t>t</t>
  </si>
  <si>
    <t>Ethanol (1)</t>
  </si>
  <si>
    <t xml:space="preserve"> </t>
  </si>
  <si>
    <t>(1) Lignes 2207 10 00, 2207 20 00, 2208 90 91 et 2208 90 99</t>
  </si>
  <si>
    <t>Détail des flux d'importation et d'exportation</t>
  </si>
  <si>
    <t>Exportations (trimestrielles)</t>
  </si>
  <si>
    <t>Importations (trimestrielles)</t>
  </si>
  <si>
    <t>Importations sous contingent (annuelles)</t>
  </si>
  <si>
    <t>Ethanol</t>
  </si>
  <si>
    <t>2 licences (SA Equus ; Reilhe Martin)
Uniquement viande de bison
(Avec CETA, s'est reporté vers 09.8401)</t>
  </si>
  <si>
    <t>Référence: 0,1% de la consommation UE</t>
  </si>
  <si>
    <t>Viande de porc</t>
  </si>
  <si>
    <t>Jambon</t>
  </si>
  <si>
    <t>Résumé des flux annuels  UE-Canada</t>
  </si>
  <si>
    <t>Résumé des flux trimestriels  UE-Canada</t>
  </si>
  <si>
    <t>Référence: 0,1% de la production UE</t>
  </si>
  <si>
    <t>Référence: 5% de la consommation UE</t>
  </si>
  <si>
    <t>Importations sous contingents (annuelles)</t>
  </si>
  <si>
    <t>(2) Agrégat : 0203 12 11, 0203 12 90, 0203 19 59, 0203 19 90, 0203 22 11, 0203 22 90, 0203 29 59, 0203 29 90, 0210 11 11, 0210 11 19, 0210 11 31, 0210 11 39, 0210 11 90, 0210 19 50, 0210 19 89, 0210 19 90, 1602 41 10, 1602 41 90, 1602 42 10, 1602 42 90, 1602 49 11, 1602 49 13, 1602 49 15, 1602 49 19, 1602 49 90</t>
  </si>
  <si>
    <t>(1) 0203, 0210 11 11 à 0210 93 00, 1602</t>
  </si>
  <si>
    <t>(3) Ces chiffres n'incluent pas les flux qui transitent par un autre pays de l'UE.</t>
  </si>
  <si>
    <t>(4) Ces chiffres incluent les flux qui transitent par un autre pays de l'UE.</t>
  </si>
  <si>
    <t>Viande fraîche ou réfrigérée (1)</t>
  </si>
  <si>
    <t>Viande congelée (2)</t>
  </si>
  <si>
    <t>(1) Lignes 0201, 0206 10 95 et 0206 10 98</t>
  </si>
  <si>
    <t>(2) Lignes 0202, 0206 29 91 et 0206 29 99</t>
  </si>
  <si>
    <t>(3) Lignes 0201 30 00, 0202 30 10, 0202 20 50, 0202 20 90, 0206 10 95 et 0206 29 91</t>
  </si>
  <si>
    <t>(4) Ces chiffres n'incluent pas les flux qui transitent par un autre pays de l'UE.</t>
  </si>
  <si>
    <t>(5) Ces chiffres incluent les flux qui transitent par un autre pays de l'UE.</t>
  </si>
  <si>
    <t>Principales lignes incluant l'aloyau (3)</t>
  </si>
  <si>
    <t>UE --&gt; CAN</t>
  </si>
  <si>
    <t>Flux net US --&gt; CAN</t>
  </si>
  <si>
    <t>US --&gt; CAN (net)</t>
  </si>
  <si>
    <t>Suivi des flux avec le Canada</t>
  </si>
  <si>
    <t>Production en valeur</t>
  </si>
  <si>
    <t>Consommation en volume</t>
  </si>
  <si>
    <t>Référence: 1% de la consommation UE 2018</t>
  </si>
  <si>
    <t>Suivi des flux français et européens de viande porcine avec le Canada</t>
  </si>
  <si>
    <r>
      <t>(5) Proxy : prix calculé à partir de la valeur et du volume de la production commercialisée par l'industrie de la transformation et de la conservation de la volaille (</t>
    </r>
    <r>
      <rPr>
        <u/>
        <sz val="11"/>
        <color rgb="FF000000"/>
        <rFont val="Calibri"/>
        <family val="2"/>
        <charset val="1"/>
      </rPr>
      <t>attention, foie gras inclus</t>
    </r>
    <r>
      <rPr>
        <sz val="11"/>
        <color rgb="FF000000"/>
        <rFont val="Calibri"/>
        <family val="2"/>
        <charset val="1"/>
      </rPr>
      <t>) -</t>
    </r>
    <r>
      <rPr>
        <i/>
        <sz val="11"/>
        <color rgb="FF000000"/>
        <rFont val="Calibri"/>
        <family val="2"/>
        <charset val="1"/>
      </rPr>
      <t>source Commission européenne Enquête Prodcom</t>
    </r>
  </si>
  <si>
    <t>UE --&gt; Monde</t>
  </si>
  <si>
    <t>(2) Ces chiffres incluent les flux ceux qui transitent par un autre pays de l'UE.</t>
  </si>
  <si>
    <t>(1) Ces chiffres n'incluent pas les flux ceux qui transitent par un autre pays de l'UE.</t>
  </si>
  <si>
    <t>Suivi des flux et des indicateurs des marchés français et européen de viande bovine</t>
  </si>
  <si>
    <t>Suivi des flux et des indicateurs des marchés français et européen de viande porcine</t>
  </si>
  <si>
    <t>Suivi des flux et des indicateurs des marchés français et européen de volaille</t>
  </si>
  <si>
    <t>Suivi des flux et des indicateurs des marchés français et européen du sucre et des produits sucrés</t>
  </si>
  <si>
    <t>Suivi des flux et des indicateurs des marchés français et européen d'éthanol</t>
  </si>
  <si>
    <t>Détail des imputations par trimestre</t>
  </si>
  <si>
    <t>2018- T1</t>
  </si>
  <si>
    <t>2018- T3</t>
  </si>
  <si>
    <t>2018- T4</t>
  </si>
  <si>
    <t>2019- T1</t>
  </si>
  <si>
    <t>2019- T2</t>
  </si>
  <si>
    <t>2019- T3</t>
  </si>
  <si>
    <t>2019- T4</t>
  </si>
  <si>
    <t>(2) Le contingent 09,2202 est ouvert sur des années glissantes (du 1er juillet au 30 juin); aucune viande canadienne n'a été importée sur ce contingent.</t>
  </si>
  <si>
    <t>09.8401 (1)</t>
  </si>
  <si>
    <t>09.2202 (1) (2)</t>
  </si>
  <si>
    <t>(1) Contingents exprimés en tonnes (1 t = 1,3 tonne-équivalent-carcasse)</t>
  </si>
  <si>
    <t>Contingents établis par le CETA (téc)</t>
  </si>
  <si>
    <t>Contingents OMC (téc)</t>
  </si>
  <si>
    <t>Contingents CETA (en téc)</t>
  </si>
  <si>
    <t>Contingents OMC (en t)</t>
  </si>
  <si>
    <t>Montant (en téc)</t>
  </si>
  <si>
    <t>Les contingents 09.0118, 09.0123 et 09,0122 sont ouverts sur des années glissantes du 1er juillet au 30 juin.</t>
  </si>
  <si>
    <t>CAN -&gt; UE</t>
  </si>
  <si>
    <t>CAN -&gt; FR</t>
  </si>
  <si>
    <t>Exp.</t>
  </si>
  <si>
    <t>Imp. hors contingent</t>
  </si>
  <si>
    <t>Imp. sous contingent</t>
  </si>
  <si>
    <t>0,1% conso UE</t>
  </si>
  <si>
    <t>Données pour le graphique</t>
  </si>
  <si>
    <t>Exp. (jambon)</t>
  </si>
  <si>
    <t>Contingents annuels</t>
  </si>
  <si>
    <t>Importations totales annuelles</t>
  </si>
  <si>
    <t>Proportion</t>
  </si>
  <si>
    <t>2019 - T1</t>
  </si>
  <si>
    <t>2019 - T2</t>
  </si>
  <si>
    <t>…dont sous contingent</t>
  </si>
  <si>
    <t>% consommation</t>
  </si>
  <si>
    <t>% production</t>
  </si>
  <si>
    <t>Total viande bovine</t>
  </si>
  <si>
    <t>tendance depuis 2014</t>
  </si>
  <si>
    <t>dont aloyau</t>
  </si>
  <si>
    <t>FR --&gt; Monde</t>
  </si>
  <si>
    <t>UE -&gt; CAN</t>
  </si>
  <si>
    <t>…dont jambon</t>
  </si>
  <si>
    <t>FR -&gt; CAN</t>
  </si>
  <si>
    <t>Sucre</t>
  </si>
  <si>
    <t>Produits sucrés</t>
  </si>
  <si>
    <t>Exportations de sucre (1)</t>
  </si>
  <si>
    <t>Exportations de produits sucrés (2)</t>
  </si>
  <si>
    <t>(1) LT 1701 et 1702</t>
  </si>
  <si>
    <t>(2) LT 1704, 1806 et 2106</t>
  </si>
  <si>
    <t>Importations de sucre (1)</t>
  </si>
  <si>
    <t>Importations de produits sucrés (2)</t>
  </si>
  <si>
    <t>Licence</t>
  </si>
  <si>
    <t>09,4280</t>
  </si>
  <si>
    <t>Consommation UE (t)</t>
  </si>
  <si>
    <t>Consommation FR (t)</t>
  </si>
  <si>
    <t>Production en volume (1)</t>
  </si>
  <si>
    <t>(2) Abattages de gros bovins + abattages de veaux / source FRanceAgriMer d'après SSP</t>
  </si>
  <si>
    <t>(2) Production de viande bovine. Source https://ec.europa.eu/info/sites/info/files/food-farming-fisheries/farming/documents/beef-production_en.pdf
DG agriculture. Observatoire de la viande</t>
  </si>
  <si>
    <t>Flux directs Monde hors UE</t>
  </si>
  <si>
    <t>Monde hors UE (flux directs)</t>
  </si>
  <si>
    <t>Monde hors UE</t>
  </si>
  <si>
    <t>Flux</t>
  </si>
  <si>
    <t>Exportations UE --&gt; Canada</t>
  </si>
  <si>
    <t>Importations Canada --&gt; UE</t>
  </si>
  <si>
    <t>Exportations UE --&gt; Monde</t>
  </si>
  <si>
    <t>Importations Monde --&gt; UE</t>
  </si>
  <si>
    <t>Exportations directes 
France --&gt; Canada (4)</t>
  </si>
  <si>
    <t>Importations directes et indirectes
Canada --&gt; France (5)</t>
  </si>
  <si>
    <t>Exportations directes
France --&gt; Monde hors UE (4)</t>
  </si>
  <si>
    <t>Importations directes
Monde hors UE --&gt; France (4)</t>
  </si>
  <si>
    <t>Exportations directes et indirectes
France --&gt; Monde (5)</t>
  </si>
  <si>
    <t>Importations directes et indirectes
Monde --&gt; France (5)</t>
  </si>
  <si>
    <t>FR --&gt; Monde (hors UE)</t>
  </si>
  <si>
    <t>Monde (hors UE) --&gt; FR</t>
  </si>
  <si>
    <t>(flux directs)</t>
  </si>
  <si>
    <t>Exportations directes 
France --&gt; Canada (3)</t>
  </si>
  <si>
    <t>Importations directes et indirectes
Canada --&gt; France (4)</t>
  </si>
  <si>
    <t>Importations directes
Monde hors UE --&gt; France (3)</t>
  </si>
  <si>
    <t>Exportations directes
France --&gt; Monde hors UE (3)</t>
  </si>
  <si>
    <t>Importations directes et indirectes
Monde --&gt; France (4)</t>
  </si>
  <si>
    <t>Exportations directes et indirectes
France --&gt; Monde (4)</t>
  </si>
  <si>
    <t>Monde hors UE --&gt; FR</t>
  </si>
  <si>
    <t>FR --&gt; Monde hors UE</t>
  </si>
  <si>
    <t>Monde (2)</t>
  </si>
  <si>
    <t>Canada (flux directs) (1)</t>
  </si>
  <si>
    <t>Monde hors UE (flux directs) (1)</t>
  </si>
  <si>
    <t>France (flux directs) (1)</t>
  </si>
  <si>
    <t>Monde --&gt; France</t>
  </si>
  <si>
    <t>France --&gt; Monde</t>
  </si>
  <si>
    <t>Exportations directes 
France --&gt; Canada (1)</t>
  </si>
  <si>
    <t>Importations directes et indirectes
Canada --&gt; France (2)</t>
  </si>
  <si>
    <t>Exportations directes
France --&gt; Monde hors UE (1)</t>
  </si>
  <si>
    <t>Importations directes
Monde hors UE --&gt; France (1)</t>
  </si>
  <si>
    <t>Exportations directes et indirectes
France --&gt; Monde (2)</t>
  </si>
  <si>
    <t>Importations directes et indirectes
Monde --&gt; France (2)</t>
  </si>
  <si>
    <t>Monde -&gt; France</t>
  </si>
  <si>
    <t>France -&gt; Monde</t>
  </si>
  <si>
    <t>(2) Ces chiffres n'incluent pas les flux ceux qui transitent par un autre pays de l'UE.</t>
  </si>
  <si>
    <t>(3) Ces chiffres incluent les flux ceux qui transitent par un autre pays de l'UE.</t>
  </si>
  <si>
    <t>Exportations directes 
France -&gt; Canada (2)</t>
  </si>
  <si>
    <t>Importations directes et indirectes
Canada -&gt; France (3)</t>
  </si>
  <si>
    <t>Exportations directes 
France -&gt; Monde hors UE (2)</t>
  </si>
  <si>
    <t>Importations directes
Monde hors UE -&gt; France (2)</t>
  </si>
  <si>
    <t>Exportations directes et indirectes
France -&gt; Monde (3)</t>
  </si>
  <si>
    <t>Importations directes et indirectes
Monde -&gt; France (3)</t>
  </si>
  <si>
    <t>Exportations UE -&gt; Canada</t>
  </si>
  <si>
    <t>Importations Canada -&gt; UE</t>
  </si>
  <si>
    <t>Exportations UE -&gt; Monde</t>
  </si>
  <si>
    <t>Importations Monde -&gt; UE</t>
  </si>
  <si>
    <t>Monde hors UE--&gt; FR</t>
  </si>
  <si>
    <t>Balance France - Monde</t>
  </si>
  <si>
    <t>Exp. (hors jambon)</t>
  </si>
  <si>
    <t>(2)(4) Conversion: 1 MhL = 80 000 t</t>
  </si>
  <si>
    <t>(2) Conversion: 1 MhL = 80 000 t</t>
  </si>
  <si>
    <t>(1) Source: Eurostat Prodcom</t>
  </si>
  <si>
    <t>(1) Source : Eurostat Prodcom</t>
  </si>
  <si>
    <t>2017 *</t>
  </si>
  <si>
    <t>2018 *</t>
  </si>
  <si>
    <t xml:space="preserve">Source : Conjoncture Sucre, Statistiques bimestriels. Données issues des bilans obtenus à partir des déclarations d'écoulements des fabricants) </t>
  </si>
  <si>
    <t>(*) : depuis 2017, publication post-quotas sucre</t>
  </si>
  <si>
    <t>Données FranceAgriMer à titre informatif (disponibles uniquement pour la France)</t>
  </si>
  <si>
    <r>
      <t>(7) Indice harmonisé de prix à la consommation (base 100 = 2015) pour le sucre. Pas de données globales UE avant 2017 -</t>
    </r>
    <r>
      <rPr>
        <i/>
        <sz val="11"/>
        <color rgb="FF000000"/>
        <rFont val="Calibri"/>
        <family val="2"/>
        <charset val="1"/>
      </rPr>
      <t>source Commission européenne "Food price monitoring tool"</t>
    </r>
  </si>
  <si>
    <t>2019 - T3</t>
  </si>
  <si>
    <t>2019 - T4</t>
  </si>
  <si>
    <t>2019-T3</t>
  </si>
  <si>
    <t>2019-T4</t>
  </si>
  <si>
    <t>Chiffres clés pour 2019</t>
  </si>
  <si>
    <t>En masse</t>
  </si>
  <si>
    <t>En valeur</t>
  </si>
  <si>
    <t>(4) Lignes 1704, 1806 et 2106 à l'exclusion de certaines lignes NC8</t>
  </si>
  <si>
    <t>(3) Lignes 1701 et 1702 à l'exclusion de certaines lignes NC8</t>
  </si>
  <si>
    <t>Sucre (3)</t>
  </si>
  <si>
    <t>Produits sucrés (4)</t>
  </si>
  <si>
    <t>Proportion sous contingent</t>
  </si>
  <si>
    <t>2019/20</t>
  </si>
  <si>
    <t>tendance</t>
  </si>
  <si>
    <t>2019 *</t>
  </si>
  <si>
    <t>2020- T1</t>
  </si>
  <si>
    <t>2020- T2</t>
  </si>
  <si>
    <t>2020- T3</t>
  </si>
  <si>
    <t>2020- T4</t>
  </si>
  <si>
    <t>(5) Proxy : prix calculé à partir de la valeur et du volume de la production commercialisée de viande porcine fraîche et congelée - source Enquête Prodcom (UE)</t>
  </si>
  <si>
    <r>
      <t xml:space="preserve">2019 </t>
    </r>
    <r>
      <rPr>
        <sz val="8"/>
        <rFont val="Calibri"/>
        <family val="2"/>
        <charset val="1"/>
      </rPr>
      <t>(UE27)</t>
    </r>
  </si>
  <si>
    <t xml:space="preserve">Consommation UE (toutes les données consommation UE : source: https://agridata.ec.europa.eu/extensions/DataPortal/trade.html </t>
  </si>
  <si>
    <t>2020 - T1</t>
  </si>
  <si>
    <t>2020 - T2</t>
  </si>
  <si>
    <t>2020 - T3</t>
  </si>
  <si>
    <t>2020 - T4</t>
  </si>
  <si>
    <t>2020-T1</t>
  </si>
  <si>
    <t>2020-T2</t>
  </si>
  <si>
    <t>2020-T3</t>
  </si>
  <si>
    <t>2020-T4</t>
  </si>
  <si>
    <t>Chiffres clés pour 2020</t>
  </si>
  <si>
    <t>Chiffres clés pour 20120</t>
  </si>
  <si>
    <t xml:space="preserve">FR --&gt; CAN </t>
  </si>
  <si>
    <t>FR --&gt; CAN</t>
  </si>
  <si>
    <t>pour FR: dû uniquement à l'ajout de lignes (pas d'effet Brexit)</t>
  </si>
  <si>
    <t>Chiffres du rapport 2019 (UE28)</t>
  </si>
  <si>
    <t>Source : Statistiques douanières américaines; le taux de change €/$ appliqué est le taux moyen sur l'année</t>
  </si>
  <si>
    <t>Tendance depuis 2014</t>
  </si>
  <si>
    <t>Total</t>
  </si>
  <si>
    <r>
      <t>(3) Proxy : Production commercialisée de viande bovine fraîche ou congelée en carcasses, demi-carcasses, quartiers ou morceaux -</t>
    </r>
    <r>
      <rPr>
        <i/>
        <sz val="11"/>
        <rFont val="Calibri"/>
        <family val="2"/>
        <charset val="1"/>
      </rPr>
      <t>source Agreste/SSP Enquête Prodcom</t>
    </r>
  </si>
  <si>
    <r>
      <t>(4)  Consommation indigène brute de viande de gros bovin et viande de veau calculée par bilan = (abattages gros bovins + veaux)+(importations de viande bovine)-(exportations de viande bovine) -</t>
    </r>
    <r>
      <rPr>
        <i/>
        <sz val="11"/>
        <rFont val="Calibri"/>
        <family val="2"/>
        <charset val="1"/>
      </rPr>
      <t>source FranceAgriMer d'après FranceAgriMer, Agreste/SSP et Douane française</t>
    </r>
  </si>
  <si>
    <r>
      <t>(5) Valeur des achats de viande bovine par les ménages pour leur consommation à domicile (inclus : bœuf et veau à griller, bœuf et veau à bouillir et braiser, viande hachée fraîche, bœuf haché surgelé / exclus : plats préparés à base de viande) -</t>
    </r>
    <r>
      <rPr>
        <i/>
        <sz val="11"/>
        <rFont val="Calibri"/>
        <family val="2"/>
        <charset val="1"/>
      </rPr>
      <t>source Kantar Worldpanel pour FranceAgriMer</t>
    </r>
  </si>
  <si>
    <r>
      <t>(6) Proxy : prix calculé à partir du volume et de la valeur de la production commercialisée de viande bovine fraîche ou congelée en carcasses, demi-carcasses, quartiers ou morceaux  -</t>
    </r>
    <r>
      <rPr>
        <i/>
        <sz val="11"/>
        <rFont val="Calibri"/>
        <family val="2"/>
        <charset val="1"/>
      </rPr>
      <t>source Agreste/SSP Enquête Prodcom</t>
    </r>
  </si>
  <si>
    <r>
      <t>(7) Indicateur Bœuf vache (carcasse) France cat. R sur le MIN Rungis Gros Bovins -</t>
    </r>
    <r>
      <rPr>
        <i/>
        <sz val="11"/>
        <rFont val="Calibri"/>
        <family val="2"/>
        <charset val="1"/>
      </rPr>
      <t>source RNM</t>
    </r>
  </si>
  <si>
    <r>
      <t>(8) Indicateur Bœuf génisse (carcasse) France cat. U sur le MIN Rungis Gros Bovins -</t>
    </r>
    <r>
      <rPr>
        <i/>
        <sz val="11"/>
        <rFont val="Calibri"/>
        <family val="2"/>
        <charset val="1"/>
      </rPr>
      <t>source RNM</t>
    </r>
  </si>
  <si>
    <r>
      <t>(9) Moyenne pondérée par les volumes des achats de viande bovine par les ménages pour leur consommation à domicile (inclus : bœuf et veau à griller, bœuf et veau à bouillir et braiser, viande hachée fraîche, bœuf haché surgelé / exclus : plats préparés à base de viande) -</t>
    </r>
    <r>
      <rPr>
        <i/>
        <sz val="11"/>
        <rFont val="Calibri"/>
        <family val="2"/>
        <charset val="1"/>
      </rPr>
      <t>calcul FranceAgriMer d'après Kantar Worldpanel pour FranceAgriMer</t>
    </r>
  </si>
  <si>
    <r>
      <t>(3) Proxy : Production commercialisée de viande de bœuf et de veau fraîche ou congelée en carcasses, demi-carcasses, quartiers avec os et morceaux -</t>
    </r>
    <r>
      <rPr>
        <i/>
        <sz val="11"/>
        <rFont val="Calibri"/>
        <family val="2"/>
        <charset val="1"/>
      </rPr>
      <t>source Eurostat enquête  Prodcom</t>
    </r>
  </si>
  <si>
    <r>
      <t xml:space="preserve">(2) Production indigène brute de porcins (hors abats) = (abattages de porcins) + (exportations de porcins vivants) - (importations de porcins vivants finis) - </t>
    </r>
    <r>
      <rPr>
        <i/>
        <sz val="11"/>
        <rFont val="Calibri"/>
        <family val="2"/>
        <scheme val="minor"/>
      </rPr>
      <t>source FranceAgriMer d'après Agreste/SSP et Douane française</t>
    </r>
  </si>
  <si>
    <r>
      <t xml:space="preserve">(3) Proxy : Production commercialisée de viande porcine fraîche et surgelée (hors abats) - </t>
    </r>
    <r>
      <rPr>
        <i/>
        <sz val="11"/>
        <rFont val="Calibri"/>
        <family val="2"/>
        <scheme val="minor"/>
      </rPr>
      <t xml:space="preserve">source Agreste/SSP Prodcom </t>
    </r>
  </si>
  <si>
    <r>
      <t xml:space="preserve">(4)  Consommation indigène brute de viande de porc (hors abats) calculée par bilan = (abattages porcins)+(importations de viande porcine)-(exportations de viande porcine) - </t>
    </r>
    <r>
      <rPr>
        <i/>
        <sz val="11"/>
        <rFont val="Calibri"/>
        <family val="2"/>
        <scheme val="minor"/>
      </rPr>
      <t>source FranceAgriMer d'après FranceAgriMer, SSP et Douane française</t>
    </r>
  </si>
  <si>
    <r>
      <t xml:space="preserve">(5) Valeur des achats de viande de porc par les ménages pour leur consommation à domicile (inclus : viande fraîche, saucisses et charcuterie / exclus : viande surgelée et plats préparés à base de viande) - </t>
    </r>
    <r>
      <rPr>
        <i/>
        <sz val="11"/>
        <rFont val="Calibri"/>
        <family val="2"/>
        <scheme val="minor"/>
      </rPr>
      <t>source Kantar Worldpanel pour FranceAgriMer</t>
    </r>
  </si>
  <si>
    <r>
      <t xml:space="preserve">(6) Proxy : prix calculé à partir du volume et de la valeur de la production de viande de porc fraîche et congelée - </t>
    </r>
    <r>
      <rPr>
        <i/>
        <sz val="11"/>
        <rFont val="Calibri"/>
        <family val="2"/>
        <scheme val="minor"/>
      </rPr>
      <t>source Agreste/SSP Enquête Prodcom</t>
    </r>
  </si>
  <si>
    <r>
      <t xml:space="preserve">(7) Indicateurs Pièce de longe et Pièce de jambon sur le MIN Rungis  - </t>
    </r>
    <r>
      <rPr>
        <i/>
        <sz val="11"/>
        <rFont val="Calibri"/>
        <family val="2"/>
        <scheme val="minor"/>
      </rPr>
      <t>source RNM</t>
    </r>
  </si>
  <si>
    <r>
      <t xml:space="preserve">2020 </t>
    </r>
    <r>
      <rPr>
        <sz val="8"/>
        <rFont val="Calibri"/>
        <family val="2"/>
      </rPr>
      <t>(UE27)</t>
    </r>
  </si>
  <si>
    <r>
      <t xml:space="preserve">(2) Production indigène brute de porcins (hors abats) = (abattages de porcins) + (exportations de porcins vivants) - (importations de porcins vivants finis) - (importations de bovins vivants finis de plus de 300 kg) - </t>
    </r>
    <r>
      <rPr>
        <i/>
        <sz val="11"/>
        <rFont val="Calibri"/>
        <family val="2"/>
        <scheme val="minor"/>
      </rPr>
      <t>source FranceAgriMer d'après Commission européenne</t>
    </r>
  </si>
  <si>
    <r>
      <t>(2) Production indigène brute de volaille de chair = (abattages de volaille de chair) + (exportations en vif) - (importations en vif)-</t>
    </r>
    <r>
      <rPr>
        <i/>
        <sz val="8"/>
        <rFont val="Calibri"/>
        <family val="2"/>
        <charset val="1"/>
      </rPr>
      <t>source FranceAgriMer d'après Agreste/SSP et Douane française</t>
    </r>
  </si>
  <si>
    <r>
      <t>(3) Proxy : Production commercialisée de l'industrie de la transformation et de la conservation de volaille (</t>
    </r>
    <r>
      <rPr>
        <u/>
        <sz val="8"/>
        <rFont val="Calibri"/>
        <family val="2"/>
        <charset val="1"/>
      </rPr>
      <t>attention, foie gras inclus)</t>
    </r>
    <r>
      <rPr>
        <sz val="8"/>
        <rFont val="Calibri"/>
        <family val="2"/>
        <charset val="1"/>
      </rPr>
      <t>-</t>
    </r>
    <r>
      <rPr>
        <i/>
        <sz val="8"/>
        <rFont val="Calibri"/>
        <family val="2"/>
        <charset val="1"/>
      </rPr>
      <t>source Agreste/SSP Enquête Prodcom</t>
    </r>
  </si>
  <si>
    <r>
      <t>(4)  Consommation indigène brute de volaille de chair calculée par bilan (hors abats) = (abattages)+(importations)-(exportations) -</t>
    </r>
    <r>
      <rPr>
        <i/>
        <sz val="8"/>
        <rFont val="Calibri"/>
        <family val="2"/>
        <charset val="1"/>
      </rPr>
      <t>source FranceAgriMer d'après FranceAgriMer, Agreste/SSP et Douane française</t>
    </r>
  </si>
  <si>
    <r>
      <t>(5) Valeur des achats de volaille fraîche par les ménages pour leur consommation à domicile -</t>
    </r>
    <r>
      <rPr>
        <i/>
        <sz val="8"/>
        <rFont val="Calibri"/>
        <family val="2"/>
        <charset val="1"/>
      </rPr>
      <t>source Kantar Worldpanel pour FranceAgriMer</t>
    </r>
  </si>
  <si>
    <r>
      <t>(6) Proxy : Prix moyen calculé à partir de la valeur et du volume de la production commercialisée de l'industrie de la transformation et de la conservation de volaille (</t>
    </r>
    <r>
      <rPr>
        <u/>
        <sz val="8"/>
        <rFont val="Calibri"/>
        <family val="2"/>
        <charset val="1"/>
      </rPr>
      <t>attention, foie gras inclus</t>
    </r>
    <r>
      <rPr>
        <sz val="8"/>
        <rFont val="Calibri"/>
        <family val="2"/>
        <charset val="1"/>
      </rPr>
      <t>) -</t>
    </r>
    <r>
      <rPr>
        <i/>
        <sz val="8"/>
        <rFont val="Calibri"/>
        <family val="2"/>
        <charset val="1"/>
      </rPr>
      <t>source Agreste/SSP Enquête Prodcom</t>
    </r>
  </si>
  <si>
    <r>
      <t>(8) Prix moyen des achats de volaille fraîche par les ménages pour leur consommation à domicile -</t>
    </r>
    <r>
      <rPr>
        <i/>
        <sz val="8"/>
        <rFont val="Calibri"/>
        <family val="2"/>
        <charset val="1"/>
      </rPr>
      <t>calcul FranceAgriMer d'après Kantar Worldpanel pour FranceAgriMer</t>
    </r>
  </si>
  <si>
    <r>
      <t>(2) Production indigène brute de volaille de chair = (abattages de volaille de chair) + (exportations en vif) - (importations en vif) -</t>
    </r>
    <r>
      <rPr>
        <i/>
        <sz val="11"/>
        <rFont val="Calibri"/>
        <family val="2"/>
        <charset val="1"/>
      </rPr>
      <t>source FranceAgriMer d'après Commission européenne</t>
    </r>
  </si>
  <si>
    <r>
      <t>(3) Proxy : Production commercialisée de l'industrie de la transformation et de la conservation de volaille (</t>
    </r>
    <r>
      <rPr>
        <u/>
        <sz val="11"/>
        <rFont val="Calibri"/>
        <family val="2"/>
        <charset val="1"/>
      </rPr>
      <t>attention, foie gras inclus</t>
    </r>
    <r>
      <rPr>
        <sz val="11"/>
        <rFont val="Calibri"/>
        <family val="2"/>
        <charset val="1"/>
      </rPr>
      <t>) -</t>
    </r>
    <r>
      <rPr>
        <i/>
        <sz val="11"/>
        <rFont val="Calibri"/>
        <family val="2"/>
        <charset val="1"/>
      </rPr>
      <t>source Eurostat enquête  Prodcom</t>
    </r>
  </si>
  <si>
    <r>
      <t>(2) Production fraîche de la campagne (hors reports de sucre d'une campagne sur l'autre) -</t>
    </r>
    <r>
      <rPr>
        <i/>
        <sz val="11"/>
        <rFont val="Calibri"/>
        <family val="2"/>
        <charset val="1"/>
      </rPr>
      <t>source : FranceAgriMer (enquête réglementaire portant sur les industriels)</t>
    </r>
    <r>
      <rPr>
        <sz val="11"/>
        <rFont val="Calibri"/>
        <family val="2"/>
        <charset val="1"/>
      </rPr>
      <t>.Les règlements (UE) qui fixent les obligations réglementaires déclaratives pour le sucre :
- Règlement délégué (UE) 2017/1183 de la CE, qui complète le règlement (UE) n° 1308/2013 du parlement et du Conseil en ce qui concerne la communication à la CE d’informations et de documents.
- Règlement d’exécution (UE) n° 2017/1185 de la CE et ses annexes II ET III.</t>
    </r>
  </si>
  <si>
    <r>
      <t>(3) Valeur obtenue en multipliant la production en volume par le prix de gros -</t>
    </r>
    <r>
      <rPr>
        <i/>
        <sz val="11"/>
        <rFont val="Calibri"/>
        <family val="2"/>
        <charset val="1"/>
      </rPr>
      <t>calcul FranceAgriMer d'après FranceAgriMer et Commission Européenne/ DG AGRI</t>
    </r>
  </si>
  <si>
    <r>
      <t>(4)  Consommation calculée par bilan : élément résiduel intitulé "Livraisons Marché intérieur" -</t>
    </r>
    <r>
      <rPr>
        <i/>
        <sz val="11"/>
        <rFont val="Calibri"/>
        <family val="2"/>
        <charset val="1"/>
      </rPr>
      <t>Source : FranceAgriMer</t>
    </r>
  </si>
  <si>
    <r>
      <t>(5) Valeur obtenue en multipliant la consommation en volume par le prix de gros -</t>
    </r>
    <r>
      <rPr>
        <i/>
        <sz val="11"/>
        <rFont val="Calibri"/>
        <family val="2"/>
        <charset val="1"/>
      </rPr>
      <t>calcul FranceAgriMer d'après FranceAgriMer et Commission Européenne/DG AGRI</t>
    </r>
  </si>
  <si>
    <r>
      <t>(6) Les Etats Membres communiquent à la Commission européenne, de manière mensuelle, les prix de vente du sucre sur leur propre marché, par une enquête auprès des industriels pour suivre le même règlement que celui portant sur la production.  Il s'agit d'une moyenne pondérée par les quantités pour du sucre en vrac départ usine. Avant la fin des quotas, c'est à dire jusqu'à la campagne 2016/17 incluse, la Commission européenne publiait la moyenne pondérée des prix du sucre pour l'UE, lors des Comités de Gestion (grandes cultures) chaque mois avec une distinction entre sucre quota (en gros, alimentaire) et sucre hors quota (industrie). Il n'y a jamais eu aucune publication de ces prix au niveau national. Depuis la campagne 2017/18, La CE publie une moyenne mensuelle des prix (pondérés) plus resserrée, par régions de pays (en plus de la moyenne UE) :      R1: AT-CZ-DK-FI-HU-LT-PL-SE-SK, R2: BE-DE-FR-UK-NL,  R3: BG-ES-GR-HR-IT-PT-RO. Dans ce tableau, la moyenne des prix indiqué pour la France, à partir de 2017/18, est la moyenne publiée par la CE pour la région R2 sur la campagne considérée -</t>
    </r>
    <r>
      <rPr>
        <i/>
        <sz val="11"/>
        <rFont val="Calibri"/>
        <family val="2"/>
        <charset val="1"/>
      </rPr>
      <t>source Commission européenne/DG AGRI à partir de 2017/18.</t>
    </r>
  </si>
  <si>
    <r>
      <t>(7) Prix moyens de vente du sucre au détail en France Métroplitaine (€/kg de sucre en morceaux) -</t>
    </r>
    <r>
      <rPr>
        <i/>
        <sz val="11"/>
        <rFont val="Calibri"/>
        <family val="2"/>
        <charset val="1"/>
      </rPr>
      <t>INSEE</t>
    </r>
  </si>
  <si>
    <r>
      <t>(2) Production fraîche de la campagne (hors reports de sucre d'une campagne sur l'autre) -</t>
    </r>
    <r>
      <rPr>
        <i/>
        <sz val="11"/>
        <rFont val="Calibri"/>
        <family val="2"/>
        <charset val="1"/>
      </rPr>
      <t>source Commission européenne/DGAGRI.</t>
    </r>
  </si>
  <si>
    <r>
      <t>(3) Valeur obtenue en multipliant la production en volume par le prix de gros -</t>
    </r>
    <r>
      <rPr>
        <i/>
        <sz val="11"/>
        <rFont val="Calibri"/>
        <family val="2"/>
        <charset val="1"/>
      </rPr>
      <t>calcul FranceAgriMer d'après Commission Européenne/DGAGRI.</t>
    </r>
  </si>
  <si>
    <r>
      <t>(4)  Consommation calculée par bilan : élément résiduel intitulé "Livraisons Marché intérieur" -</t>
    </r>
    <r>
      <rPr>
        <i/>
        <sz val="11"/>
        <rFont val="Calibri"/>
        <family val="2"/>
        <charset val="1"/>
      </rPr>
      <t>Source : FranceAgriMer d'après Commission européenne/DGAGRI</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</si>
</sst>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0\ &quot;€&quot;;[Red]\-#,##0\ &quot;€&quot;"/>
    <numFmt numFmtId="164" formatCode="_-* #,##0.00,_€_-;\-* #,##0.00,_€_-;_-* \-??\ _€_-;_-@_-"/>
    <numFmt numFmtId="165" formatCode="#,##0.0"/>
    <numFmt numFmtId="166" formatCode="#,##0,\€;[Red]\-#,##0,\€"/>
    <numFmt numFmtId="167" formatCode="0.0%"/>
    <numFmt numFmtId="168" formatCode="\+0%;\-0%"/>
    <numFmt numFmtId="169" formatCode="#,##0&quot; t&quot;"/>
    <numFmt numFmtId="170" formatCode="#,##0&quot; M€&quot;"/>
    <numFmt numFmtId="171" formatCode="\+0.0%;\-0.0%"/>
    <numFmt numFmtId="172" formatCode="#,##0.00_ ;\-#,##0.00\ "/>
    <numFmt numFmtId="173" formatCode="0\ %"/>
    <numFmt numFmtId="174" formatCode="\+0%;\-0%;"/>
  </numFmts>
  <fonts count="74"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000000"/>
      <name val="Calibri"/>
      <family val="2"/>
      <charset val="1"/>
    </font>
    <font>
      <b/>
      <sz val="11"/>
      <color rgb="FF000000"/>
      <name val="Calibri"/>
      <family val="2"/>
      <charset val="1"/>
    </font>
    <font>
      <i/>
      <sz val="11"/>
      <color rgb="FF000000"/>
      <name val="Calibri"/>
      <family val="2"/>
      <charset val="1"/>
    </font>
    <font>
      <sz val="11"/>
      <color rgb="FFFF0000"/>
      <name val="Calibri"/>
      <family val="2"/>
      <charset val="1"/>
    </font>
    <font>
      <sz val="11"/>
      <color rgb="FF000000"/>
      <name val="Calibri"/>
      <family val="2"/>
      <charset val="1"/>
    </font>
    <font>
      <u/>
      <sz val="11"/>
      <color rgb="FF000000"/>
      <name val="Calibri"/>
      <family val="2"/>
      <charset val="1"/>
    </font>
    <font>
      <sz val="11"/>
      <color rgb="FF000000"/>
      <name val="Arial MT Bd"/>
    </font>
    <font>
      <i/>
      <sz val="11"/>
      <color rgb="FF000000"/>
      <name val="Calibri"/>
      <family val="2"/>
    </font>
    <font>
      <b/>
      <sz val="11"/>
      <color rgb="FF000000"/>
      <name val="Calibri"/>
      <family val="2"/>
    </font>
    <font>
      <sz val="11"/>
      <color indexed="8"/>
      <name val="Calibri"/>
      <family val="2"/>
      <scheme val="minor"/>
    </font>
    <font>
      <i/>
      <sz val="11"/>
      <color theme="1"/>
      <name val="Calibri"/>
      <family val="2"/>
      <scheme val="minor"/>
    </font>
    <font>
      <sz val="11"/>
      <color theme="1"/>
      <name val="Calibri"/>
      <family val="2"/>
      <charset val="1"/>
    </font>
    <font>
      <b/>
      <sz val="11"/>
      <color theme="1"/>
      <name val="Calibri"/>
      <family val="2"/>
      <charset val="1"/>
    </font>
    <font>
      <i/>
      <sz val="11"/>
      <color theme="1"/>
      <name val="Calibri"/>
      <family val="2"/>
      <charset val="1"/>
    </font>
    <font>
      <i/>
      <sz val="11"/>
      <color theme="1"/>
      <name val="Calibri"/>
      <family val="2"/>
    </font>
    <font>
      <sz val="11"/>
      <name val="Calibri"/>
      <family val="2"/>
      <charset val="1"/>
    </font>
    <font>
      <i/>
      <sz val="11"/>
      <name val="Calibri"/>
      <family val="2"/>
    </font>
    <font>
      <b/>
      <sz val="11"/>
      <color theme="1"/>
      <name val="Calibri"/>
      <family val="2"/>
    </font>
    <font>
      <sz val="11"/>
      <name val="Calibri"/>
      <family val="2"/>
      <scheme val="minor"/>
    </font>
    <font>
      <sz val="11"/>
      <name val="Calibri"/>
      <family val="2"/>
    </font>
    <font>
      <i/>
      <sz val="10"/>
      <name val="Arial"/>
      <family val="2"/>
    </font>
    <font>
      <b/>
      <sz val="11"/>
      <color theme="1"/>
      <name val="Calibri"/>
      <family val="2"/>
      <scheme val="minor"/>
    </font>
    <font>
      <i/>
      <sz val="11"/>
      <name val="Calibri"/>
      <family val="2"/>
      <scheme val="minor"/>
    </font>
    <font>
      <sz val="7"/>
      <color theme="1"/>
      <name val="Calibri"/>
      <family val="2"/>
      <scheme val="minor"/>
    </font>
    <font>
      <sz val="7"/>
      <color rgb="FF000000"/>
      <name val="Calibri"/>
      <family val="2"/>
    </font>
    <font>
      <sz val="7"/>
      <color rgb="FF000000"/>
      <name val="Calibri"/>
      <family val="2"/>
      <charset val="1"/>
    </font>
    <font>
      <b/>
      <sz val="18"/>
      <color rgb="FF000000"/>
      <name val="Calibri"/>
      <family val="2"/>
      <charset val="1"/>
    </font>
    <font>
      <b/>
      <sz val="18"/>
      <color theme="1"/>
      <name val="Calibri"/>
      <family val="2"/>
      <scheme val="minor"/>
    </font>
    <font>
      <b/>
      <i/>
      <u/>
      <sz val="11"/>
      <color rgb="FF000000"/>
      <name val="Calibri"/>
      <family val="2"/>
      <charset val="1"/>
    </font>
    <font>
      <b/>
      <u/>
      <sz val="9"/>
      <color rgb="FF000000"/>
      <name val="Calibri"/>
      <family val="2"/>
    </font>
    <font>
      <sz val="9"/>
      <color rgb="FF000000"/>
      <name val="Calibri"/>
      <family val="2"/>
    </font>
    <font>
      <i/>
      <sz val="9"/>
      <color rgb="FF000000"/>
      <name val="Calibri"/>
      <family val="2"/>
    </font>
    <font>
      <b/>
      <u/>
      <sz val="11"/>
      <color rgb="FF000000"/>
      <name val="Calibri"/>
      <family val="2"/>
    </font>
    <font>
      <sz val="11"/>
      <color rgb="FF000000"/>
      <name val="Calibri"/>
      <family val="2"/>
    </font>
    <font>
      <sz val="8"/>
      <color rgb="FF000000"/>
      <name val="Calibri"/>
      <family val="2"/>
      <charset val="1"/>
    </font>
    <font>
      <sz val="11"/>
      <color rgb="FFFF0000"/>
      <name val="Calibri"/>
      <family val="2"/>
    </font>
    <font>
      <sz val="9"/>
      <color indexed="81"/>
      <name val="Tahoma"/>
      <family val="2"/>
    </font>
    <font>
      <b/>
      <sz val="9"/>
      <color indexed="81"/>
      <name val="Tahoma"/>
      <family val="2"/>
    </font>
    <font>
      <sz val="8"/>
      <name val="Calibri"/>
      <family val="2"/>
      <charset val="1"/>
    </font>
    <font>
      <b/>
      <sz val="10"/>
      <name val="Arial"/>
      <family val="2"/>
    </font>
    <font>
      <sz val="11"/>
      <color rgb="FF00B050"/>
      <name val="Calibri"/>
      <family val="2"/>
      <charset val="1"/>
    </font>
    <font>
      <b/>
      <sz val="11"/>
      <color rgb="FFFF0000"/>
      <name val="Calibri"/>
      <family val="2"/>
      <scheme val="minor"/>
    </font>
    <font>
      <sz val="9"/>
      <color rgb="FFFF0000"/>
      <name val="Calibri"/>
      <family val="2"/>
    </font>
    <font>
      <sz val="10"/>
      <name val="Arial"/>
      <family val="2"/>
    </font>
    <font>
      <sz val="10"/>
      <name val="MS Sans Serif"/>
      <family val="2"/>
    </font>
    <font>
      <b/>
      <sz val="11"/>
      <name val="Calibri"/>
      <family val="2"/>
      <charset val="1"/>
    </font>
    <font>
      <b/>
      <sz val="11"/>
      <name val="Calibri"/>
      <family val="2"/>
    </font>
    <font>
      <sz val="11"/>
      <color theme="1"/>
      <name val="Calibri"/>
      <family val="2"/>
    </font>
    <font>
      <b/>
      <sz val="14"/>
      <name val="Calibri"/>
      <family val="2"/>
    </font>
    <font>
      <b/>
      <u/>
      <sz val="11"/>
      <name val="Calibri"/>
      <family val="2"/>
      <charset val="1"/>
    </font>
    <font>
      <i/>
      <sz val="11"/>
      <name val="Calibri"/>
      <family val="2"/>
      <charset val="1"/>
    </font>
    <font>
      <b/>
      <sz val="14"/>
      <name val="Calibri"/>
      <family val="2"/>
      <charset val="1"/>
    </font>
    <font>
      <b/>
      <u/>
      <sz val="11"/>
      <name val="Calibri"/>
      <family val="2"/>
    </font>
    <font>
      <sz val="8"/>
      <name val="Calibri"/>
      <family val="2"/>
    </font>
    <font>
      <sz val="7"/>
      <name val="Calibri"/>
      <family val="2"/>
      <charset val="1"/>
    </font>
    <font>
      <b/>
      <i/>
      <u/>
      <sz val="11"/>
      <name val="Calibri"/>
      <family val="2"/>
      <charset val="1"/>
    </font>
    <font>
      <b/>
      <sz val="18"/>
      <name val="Calibri"/>
      <family val="2"/>
      <charset val="1"/>
    </font>
    <font>
      <i/>
      <sz val="8"/>
      <name val="Calibri"/>
      <family val="2"/>
      <charset val="1"/>
    </font>
    <font>
      <u/>
      <sz val="8"/>
      <name val="Calibri"/>
      <family val="2"/>
      <charset val="1"/>
    </font>
    <font>
      <u/>
      <sz val="11"/>
      <name val="Calibri"/>
      <family val="2"/>
      <charset val="1"/>
    </font>
    <font>
      <b/>
      <sz val="7"/>
      <name val="Calibri"/>
      <family val="2"/>
    </font>
    <font>
      <sz val="7"/>
      <name val="Calibri"/>
      <family val="2"/>
    </font>
  </fonts>
  <fills count="11">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rgb="FFFFFFCC"/>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bgColor rgb="FFFFFFCC"/>
      </patternFill>
    </fill>
    <fill>
      <patternFill patternType="solid">
        <fgColor rgb="FFBFBFBF"/>
        <bgColor rgb="FFA6A6A6"/>
      </patternFill>
    </fill>
  </fills>
  <borders count="100">
    <border>
      <left/>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right style="medium">
        <color indexed="64"/>
      </right>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top style="thin">
        <color auto="1"/>
      </top>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rgb="FFFF0000"/>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auto="1"/>
      </left>
      <right style="medium">
        <color rgb="FFFF0000"/>
      </right>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medium">
        <color indexed="64"/>
      </top>
      <bottom style="thin">
        <color auto="1"/>
      </bottom>
      <diagonal/>
    </border>
    <border>
      <left style="thin">
        <color auto="1"/>
      </left>
      <right style="medium">
        <color rgb="FFFF0000"/>
      </right>
      <top style="thin">
        <color auto="1"/>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
      <left/>
      <right/>
      <top/>
      <bottom style="medium">
        <color indexed="64"/>
      </bottom>
      <diagonal/>
    </border>
    <border>
      <left/>
      <right style="thin">
        <color indexed="64"/>
      </right>
      <top/>
      <bottom/>
      <diagonal/>
    </border>
    <border>
      <left/>
      <right/>
      <top style="thin">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rgb="FFFF0000"/>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auto="1"/>
      </left>
      <right style="medium">
        <color rgb="FFFF0000"/>
      </right>
      <top/>
      <bottom style="medium">
        <color indexed="64"/>
      </bottom>
      <diagonal/>
    </border>
    <border>
      <left style="thin">
        <color auto="1"/>
      </left>
      <right style="thin">
        <color rgb="FFFF0000"/>
      </right>
      <top style="medium">
        <color indexed="64"/>
      </top>
      <bottom style="medium">
        <color indexed="64"/>
      </bottom>
      <diagonal/>
    </border>
    <border>
      <left style="thin">
        <color auto="1"/>
      </left>
      <right style="thin">
        <color rgb="FFFF0000"/>
      </right>
      <top style="medium">
        <color indexed="64"/>
      </top>
      <bottom/>
      <diagonal/>
    </border>
    <border>
      <left style="thin">
        <color auto="1"/>
      </left>
      <right style="thin">
        <color rgb="FFFF0000"/>
      </right>
      <top style="medium">
        <color indexed="64"/>
      </top>
      <bottom style="thin">
        <color auto="1"/>
      </bottom>
      <diagonal/>
    </border>
    <border>
      <left style="thin">
        <color auto="1"/>
      </left>
      <right style="thin">
        <color rgb="FFFF0000"/>
      </right>
      <top style="thin">
        <color auto="1"/>
      </top>
      <bottom style="medium">
        <color indexed="64"/>
      </bottom>
      <diagonal/>
    </border>
    <border>
      <left style="thin">
        <color auto="1"/>
      </left>
      <right style="thin">
        <color rgb="FFFF0000"/>
      </right>
      <top/>
      <bottom style="thin">
        <color auto="1"/>
      </bottom>
      <diagonal/>
    </border>
    <border>
      <left style="thin">
        <color auto="1"/>
      </left>
      <right style="thin">
        <color rgb="FFFF0000"/>
      </right>
      <top style="thin">
        <color auto="1"/>
      </top>
      <bottom/>
      <diagonal/>
    </border>
    <border>
      <left style="medium">
        <color indexed="64"/>
      </left>
      <right style="thin">
        <color auto="1"/>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style="thin">
        <color auto="1"/>
      </left>
      <right/>
      <top/>
      <bottom style="medium">
        <color indexed="64"/>
      </bottom>
      <diagonal/>
    </border>
    <border>
      <left style="thin">
        <color rgb="FFFF0000"/>
      </left>
      <right style="thin">
        <color indexed="64"/>
      </right>
      <top style="medium">
        <color indexed="64"/>
      </top>
      <bottom style="medium">
        <color indexed="64"/>
      </bottom>
      <diagonal/>
    </border>
    <border>
      <left style="thin">
        <color rgb="FFFF0000"/>
      </left>
      <right style="thin">
        <color indexed="64"/>
      </right>
      <top style="medium">
        <color indexed="64"/>
      </top>
      <bottom/>
      <diagonal/>
    </border>
    <border>
      <left style="thin">
        <color rgb="FFFF0000"/>
      </left>
      <right style="thin">
        <color indexed="64"/>
      </right>
      <top style="medium">
        <color indexed="64"/>
      </top>
      <bottom style="thin">
        <color auto="1"/>
      </bottom>
      <diagonal/>
    </border>
    <border>
      <left style="thin">
        <color rgb="FFFF0000"/>
      </left>
      <right style="thin">
        <color indexed="64"/>
      </right>
      <top style="thin">
        <color auto="1"/>
      </top>
      <bottom style="medium">
        <color indexed="64"/>
      </bottom>
      <diagonal/>
    </border>
    <border>
      <left style="thin">
        <color rgb="FFFF0000"/>
      </left>
      <right style="thin">
        <color indexed="64"/>
      </right>
      <top/>
      <bottom style="thin">
        <color auto="1"/>
      </bottom>
      <diagonal/>
    </border>
    <border>
      <left style="thin">
        <color rgb="FFFF0000"/>
      </left>
      <right style="thin">
        <color indexed="64"/>
      </right>
      <top style="thin">
        <color auto="1"/>
      </top>
      <bottom/>
      <diagonal/>
    </border>
    <border>
      <left style="medium">
        <color rgb="FFFF0000"/>
      </left>
      <right style="thin">
        <color indexed="64"/>
      </right>
      <top style="medium">
        <color indexed="64"/>
      </top>
      <bottom style="medium">
        <color indexed="64"/>
      </bottom>
      <diagonal/>
    </border>
    <border>
      <left style="medium">
        <color rgb="FFFF0000"/>
      </left>
      <right style="thin">
        <color indexed="64"/>
      </right>
      <top style="medium">
        <color indexed="64"/>
      </top>
      <bottom style="thin">
        <color auto="1"/>
      </bottom>
      <diagonal/>
    </border>
    <border>
      <left style="medium">
        <color rgb="FFFF0000"/>
      </left>
      <right style="thin">
        <color indexed="64"/>
      </right>
      <top/>
      <bottom style="thin">
        <color auto="1"/>
      </bottom>
      <diagonal/>
    </border>
    <border>
      <left style="medium">
        <color rgb="FFFF0000"/>
      </left>
      <right style="thin">
        <color indexed="64"/>
      </right>
      <top style="medium">
        <color indexed="64"/>
      </top>
      <bottom/>
      <diagonal/>
    </border>
    <border>
      <left style="medium">
        <color rgb="FFFF0000"/>
      </left>
      <right style="thin">
        <color indexed="64"/>
      </right>
      <top/>
      <bottom style="medium">
        <color indexed="64"/>
      </bottom>
      <diagonal/>
    </border>
    <border>
      <left style="thin">
        <color auto="1"/>
      </left>
      <right style="medium">
        <color rgb="FFFF0000"/>
      </right>
      <top style="thin">
        <color auto="1"/>
      </top>
      <bottom/>
      <diagonal/>
    </border>
    <border>
      <left style="medium">
        <color rgb="FFFF0000"/>
      </left>
      <right style="thin">
        <color indexed="64"/>
      </right>
      <top style="thin">
        <color auto="1"/>
      </top>
      <bottom style="thin">
        <color auto="1"/>
      </bottom>
      <diagonal/>
    </border>
    <border>
      <left style="medium">
        <color rgb="FFFF0000"/>
      </left>
      <right style="thin">
        <color indexed="64"/>
      </right>
      <top style="thin">
        <color auto="1"/>
      </top>
      <bottom style="medium">
        <color indexed="64"/>
      </bottom>
      <diagonal/>
    </border>
    <border>
      <left style="medium">
        <color indexed="64"/>
      </left>
      <right style="thin">
        <color auto="1"/>
      </right>
      <top/>
      <bottom/>
      <diagonal/>
    </border>
  </borders>
  <cellStyleXfs count="17">
    <xf numFmtId="0" fontId="0" fillId="0" borderId="0"/>
    <xf numFmtId="164" fontId="16" fillId="0" borderId="0" applyBorder="0" applyProtection="0"/>
    <xf numFmtId="0" fontId="11" fillId="0" borderId="0"/>
    <xf numFmtId="0" fontId="10" fillId="0" borderId="0"/>
    <xf numFmtId="0" fontId="21" fillId="0" borderId="0"/>
    <xf numFmtId="0" fontId="21" fillId="0" borderId="0"/>
    <xf numFmtId="0" fontId="5" fillId="0" borderId="0"/>
    <xf numFmtId="0" fontId="5" fillId="0" borderId="0"/>
    <xf numFmtId="0" fontId="4" fillId="0" borderId="0"/>
    <xf numFmtId="0" fontId="4" fillId="0" borderId="0"/>
    <xf numFmtId="173" fontId="16" fillId="0" borderId="0" applyBorder="0" applyProtection="0"/>
    <xf numFmtId="0" fontId="16" fillId="0" borderId="0"/>
    <xf numFmtId="0" fontId="27" fillId="0" borderId="0"/>
    <xf numFmtId="0" fontId="27" fillId="0" borderId="0"/>
    <xf numFmtId="0" fontId="16" fillId="0" borderId="0"/>
    <xf numFmtId="0" fontId="55" fillId="0" borderId="0"/>
    <xf numFmtId="0" fontId="56" fillId="0" borderId="0"/>
  </cellStyleXfs>
  <cellXfs count="1090">
    <xf numFmtId="0" fontId="0" fillId="0" borderId="0" xfId="0"/>
    <xf numFmtId="0" fontId="0" fillId="0" borderId="0" xfId="0" applyAlignment="1">
      <alignment horizontal="center"/>
    </xf>
    <xf numFmtId="0" fontId="13" fillId="0" borderId="0" xfId="0" applyFont="1" applyAlignment="1">
      <alignment horizont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1" xfId="0" applyFont="1" applyBorder="1"/>
    <xf numFmtId="0" fontId="0" fillId="0" borderId="1" xfId="0" applyFont="1" applyBorder="1" applyAlignment="1">
      <alignment horizontal="center"/>
    </xf>
    <xf numFmtId="0" fontId="0" fillId="0" borderId="5" xfId="0" applyFont="1" applyBorder="1"/>
    <xf numFmtId="0" fontId="0" fillId="0" borderId="0" xfId="0" applyFont="1"/>
    <xf numFmtId="3" fontId="0" fillId="0" borderId="0" xfId="1" applyNumberFormat="1" applyFont="1" applyBorder="1" applyAlignment="1" applyProtection="1">
      <alignment horizontal="center"/>
    </xf>
    <xf numFmtId="0" fontId="0" fillId="0" borderId="0" xfId="0" applyAlignment="1">
      <alignment horizontal="left" wrapText="1"/>
    </xf>
    <xf numFmtId="49" fontId="0" fillId="0" borderId="0" xfId="0" applyNumberFormat="1"/>
    <xf numFmtId="3" fontId="0" fillId="0" borderId="7" xfId="0" applyNumberFormat="1" applyBorder="1" applyAlignment="1">
      <alignment horizontal="right"/>
    </xf>
    <xf numFmtId="0" fontId="12" fillId="0" borderId="0" xfId="0" applyFont="1" applyAlignment="1">
      <alignment horizontal="left" wrapText="1"/>
    </xf>
    <xf numFmtId="0" fontId="11" fillId="0" borderId="0" xfId="2"/>
    <xf numFmtId="0" fontId="11" fillId="0" borderId="0" xfId="2" applyFill="1"/>
    <xf numFmtId="0" fontId="18" fillId="0" borderId="0" xfId="2" applyFont="1" applyAlignment="1">
      <alignment horizontal="left" vertical="center" readingOrder="1"/>
    </xf>
    <xf numFmtId="0" fontId="11" fillId="0" borderId="7" xfId="2" applyBorder="1"/>
    <xf numFmtId="0" fontId="18" fillId="0" borderId="0" xfId="2" applyFont="1"/>
    <xf numFmtId="0" fontId="12" fillId="0" borderId="0" xfId="0" applyFont="1" applyBorder="1" applyAlignment="1">
      <alignment horizontal="left" wrapText="1"/>
    </xf>
    <xf numFmtId="0" fontId="0" fillId="3" borderId="29" xfId="0" applyFill="1" applyBorder="1" applyAlignment="1">
      <alignment horizontal="left"/>
    </xf>
    <xf numFmtId="0" fontId="0" fillId="3" borderId="30" xfId="0" applyFill="1"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0" fillId="3" borderId="33" xfId="0" applyFill="1" applyBorder="1" applyAlignment="1">
      <alignment horizontal="left"/>
    </xf>
    <xf numFmtId="3" fontId="0" fillId="3" borderId="7" xfId="0" applyNumberFormat="1" applyFill="1" applyBorder="1" applyAlignment="1">
      <alignment horizontal="right"/>
    </xf>
    <xf numFmtId="3" fontId="0" fillId="3" borderId="11" xfId="0" applyNumberFormat="1" applyFill="1" applyBorder="1" applyAlignment="1">
      <alignment horizontal="right"/>
    </xf>
    <xf numFmtId="3" fontId="0" fillId="0" borderId="16" xfId="0" applyNumberFormat="1" applyBorder="1" applyAlignment="1">
      <alignment horizontal="right"/>
    </xf>
    <xf numFmtId="0" fontId="19" fillId="0" borderId="34" xfId="0" applyFont="1" applyBorder="1" applyAlignment="1">
      <alignment horizontal="right"/>
    </xf>
    <xf numFmtId="0" fontId="20" fillId="0" borderId="0" xfId="0" applyFont="1"/>
    <xf numFmtId="0" fontId="0" fillId="0" borderId="0" xfId="0" applyAlignment="1">
      <alignment wrapText="1"/>
    </xf>
    <xf numFmtId="3" fontId="0" fillId="2" borderId="7" xfId="0" applyNumberFormat="1" applyFill="1" applyBorder="1"/>
    <xf numFmtId="3" fontId="0" fillId="2" borderId="11" xfId="0" applyNumberFormat="1" applyFill="1" applyBorder="1"/>
    <xf numFmtId="3" fontId="0" fillId="0" borderId="11" xfId="0" applyNumberFormat="1" applyBorder="1"/>
    <xf numFmtId="3" fontId="0" fillId="2" borderId="16" xfId="0" applyNumberFormat="1" applyFill="1" applyBorder="1"/>
    <xf numFmtId="3" fontId="0" fillId="2" borderId="12" xfId="0" applyNumberFormat="1" applyFill="1" applyBorder="1"/>
    <xf numFmtId="3" fontId="0" fillId="2" borderId="14" xfId="0" applyNumberFormat="1" applyFill="1" applyBorder="1"/>
    <xf numFmtId="3" fontId="0" fillId="2" borderId="17" xfId="0" applyNumberFormat="1" applyFill="1" applyBorder="1"/>
    <xf numFmtId="3" fontId="0" fillId="0" borderId="10" xfId="0" applyNumberFormat="1" applyBorder="1"/>
    <xf numFmtId="3" fontId="0" fillId="2" borderId="10" xfId="0" applyNumberFormat="1" applyFill="1" applyBorder="1"/>
    <xf numFmtId="3" fontId="0" fillId="2" borderId="13" xfId="0" applyNumberFormat="1" applyFill="1" applyBorder="1"/>
    <xf numFmtId="3" fontId="0" fillId="2" borderId="15" xfId="0" applyNumberFormat="1" applyFill="1" applyBorder="1"/>
    <xf numFmtId="0" fontId="0" fillId="0" borderId="12"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6" xfId="0" applyFont="1" applyBorder="1" applyAlignment="1">
      <alignment horizontal="center"/>
    </xf>
    <xf numFmtId="0" fontId="20" fillId="0" borderId="27" xfId="0" applyFont="1" applyBorder="1" applyAlignment="1">
      <alignment horizontal="center"/>
    </xf>
    <xf numFmtId="0" fontId="20" fillId="0" borderId="28" xfId="0" applyFont="1" applyBorder="1" applyAlignment="1">
      <alignment horizontal="center"/>
    </xf>
    <xf numFmtId="0" fontId="0" fillId="0" borderId="0" xfId="0" applyAlignment="1">
      <alignment horizontal="center" wrapText="1"/>
    </xf>
    <xf numFmtId="49" fontId="0" fillId="0" borderId="0" xfId="0" applyNumberFormat="1" applyAlignment="1">
      <alignment wrapText="1"/>
    </xf>
    <xf numFmtId="0" fontId="20" fillId="0" borderId="0" xfId="0" applyFont="1" applyAlignment="1">
      <alignment wrapText="1"/>
    </xf>
    <xf numFmtId="0" fontId="11" fillId="0" borderId="3" xfId="2" applyBorder="1"/>
    <xf numFmtId="0" fontId="11" fillId="0" borderId="4" xfId="2" applyBorder="1"/>
    <xf numFmtId="0" fontId="20" fillId="0" borderId="44" xfId="0" applyFont="1" applyBorder="1" applyAlignment="1">
      <alignment horizontal="center"/>
    </xf>
    <xf numFmtId="0" fontId="0" fillId="3" borderId="6" xfId="0" applyFill="1" applyBorder="1" applyAlignment="1">
      <alignment horizontal="center"/>
    </xf>
    <xf numFmtId="0" fontId="0" fillId="0" borderId="38" xfId="0" applyBorder="1" applyAlignment="1">
      <alignment horizontal="center"/>
    </xf>
    <xf numFmtId="0" fontId="0" fillId="3" borderId="21" xfId="0" applyFill="1" applyBorder="1" applyAlignment="1">
      <alignment horizontal="center"/>
    </xf>
    <xf numFmtId="0" fontId="0" fillId="0" borderId="22" xfId="0" applyBorder="1" applyAlignment="1">
      <alignment horizontal="center"/>
    </xf>
    <xf numFmtId="3" fontId="0" fillId="0" borderId="0" xfId="0" applyNumberFormat="1" applyFill="1" applyBorder="1" applyAlignment="1">
      <alignment horizontal="right"/>
    </xf>
    <xf numFmtId="3" fontId="0" fillId="0" borderId="0" xfId="0" applyNumberFormat="1" applyFill="1" applyBorder="1" applyAlignment="1">
      <alignment horizontal="left"/>
    </xf>
    <xf numFmtId="0" fontId="19" fillId="0" borderId="34" xfId="0" applyFont="1" applyBorder="1" applyAlignment="1">
      <alignment horizontal="center"/>
    </xf>
    <xf numFmtId="0" fontId="0" fillId="0" borderId="2" xfId="0" applyFill="1" applyBorder="1" applyAlignment="1">
      <alignment horizontal="center" vertical="center"/>
    </xf>
    <xf numFmtId="0" fontId="0" fillId="0" borderId="0" xfId="0" applyFill="1"/>
    <xf numFmtId="0" fontId="0" fillId="0" borderId="0" xfId="0" quotePrefix="1" applyAlignment="1">
      <alignment horizontal="left" wrapText="1"/>
    </xf>
    <xf numFmtId="0" fontId="19" fillId="0" borderId="0" xfId="0" applyFont="1"/>
    <xf numFmtId="3" fontId="0" fillId="0" borderId="0" xfId="0" applyNumberFormat="1" applyBorder="1" applyAlignment="1">
      <alignment horizontal="right"/>
    </xf>
    <xf numFmtId="0" fontId="20" fillId="0" borderId="60" xfId="0" applyFont="1" applyBorder="1" applyAlignment="1">
      <alignment horizontal="center"/>
    </xf>
    <xf numFmtId="0" fontId="20" fillId="0" borderId="36" xfId="0" applyFont="1" applyBorder="1" applyAlignment="1">
      <alignment horizontal="center"/>
    </xf>
    <xf numFmtId="3" fontId="0" fillId="0" borderId="11" xfId="0" applyNumberFormat="1" applyBorder="1" applyAlignment="1">
      <alignment horizontal="center"/>
    </xf>
    <xf numFmtId="3" fontId="0" fillId="0" borderId="0" xfId="0" applyNumberFormat="1" applyAlignment="1">
      <alignment horizontal="center" wrapText="1"/>
    </xf>
    <xf numFmtId="3" fontId="0" fillId="0" borderId="7" xfId="0" applyNumberFormat="1" applyBorder="1" applyAlignment="1">
      <alignment horizontal="center"/>
    </xf>
    <xf numFmtId="3" fontId="0" fillId="0" borderId="16" xfId="0" applyNumberFormat="1" applyBorder="1" applyAlignment="1">
      <alignment horizontal="center"/>
    </xf>
    <xf numFmtId="0" fontId="20" fillId="0" borderId="61" xfId="0" applyFont="1" applyBorder="1" applyAlignment="1">
      <alignment horizontal="center"/>
    </xf>
    <xf numFmtId="0" fontId="20" fillId="0" borderId="64" xfId="0" applyFont="1" applyBorder="1" applyAlignment="1">
      <alignment horizontal="center"/>
    </xf>
    <xf numFmtId="0" fontId="20" fillId="0" borderId="63" xfId="0" applyFont="1" applyBorder="1" applyAlignment="1">
      <alignment horizontal="center"/>
    </xf>
    <xf numFmtId="3" fontId="23" fillId="3" borderId="10" xfId="0" applyNumberFormat="1" applyFont="1" applyFill="1" applyBorder="1" applyAlignment="1">
      <alignment horizontal="right"/>
    </xf>
    <xf numFmtId="3" fontId="23" fillId="3" borderId="11" xfId="0" applyNumberFormat="1" applyFont="1" applyFill="1" applyBorder="1" applyAlignment="1">
      <alignment horizontal="right"/>
    </xf>
    <xf numFmtId="3" fontId="23" fillId="3" borderId="12" xfId="0" applyNumberFormat="1" applyFont="1" applyFill="1" applyBorder="1" applyAlignment="1">
      <alignment horizontal="right"/>
    </xf>
    <xf numFmtId="3" fontId="23" fillId="3" borderId="53" xfId="0" applyNumberFormat="1" applyFont="1" applyFill="1" applyBorder="1" applyAlignment="1">
      <alignment horizontal="right"/>
    </xf>
    <xf numFmtId="3" fontId="23" fillId="3" borderId="49" xfId="0" applyNumberFormat="1" applyFont="1" applyFill="1" applyBorder="1" applyAlignment="1">
      <alignment horizontal="right"/>
    </xf>
    <xf numFmtId="3" fontId="23" fillId="3" borderId="13" xfId="0" applyNumberFormat="1" applyFont="1" applyFill="1" applyBorder="1" applyAlignment="1">
      <alignment horizontal="right"/>
    </xf>
    <xf numFmtId="3" fontId="23" fillId="3" borderId="7" xfId="0" applyNumberFormat="1" applyFont="1" applyFill="1" applyBorder="1" applyAlignment="1">
      <alignment horizontal="right"/>
    </xf>
    <xf numFmtId="3" fontId="23" fillId="3" borderId="14" xfId="0" applyNumberFormat="1" applyFont="1" applyFill="1" applyBorder="1" applyAlignment="1">
      <alignment horizontal="right"/>
    </xf>
    <xf numFmtId="3" fontId="23" fillId="3" borderId="52" xfId="0" applyNumberFormat="1" applyFont="1" applyFill="1" applyBorder="1" applyAlignment="1">
      <alignment horizontal="right"/>
    </xf>
    <xf numFmtId="3" fontId="23" fillId="3" borderId="47" xfId="0" applyNumberFormat="1" applyFont="1" applyFill="1" applyBorder="1" applyAlignment="1">
      <alignment horizontal="right"/>
    </xf>
    <xf numFmtId="3" fontId="23" fillId="0" borderId="13" xfId="0" applyNumberFormat="1" applyFont="1" applyBorder="1" applyAlignment="1">
      <alignment horizontal="right"/>
    </xf>
    <xf numFmtId="3" fontId="23" fillId="0" borderId="7" xfId="0" applyNumberFormat="1" applyFont="1" applyBorder="1" applyAlignment="1">
      <alignment horizontal="right"/>
    </xf>
    <xf numFmtId="3" fontId="23" fillId="0" borderId="14" xfId="0" applyNumberFormat="1" applyFont="1" applyBorder="1" applyAlignment="1">
      <alignment horizontal="right"/>
    </xf>
    <xf numFmtId="3" fontId="23" fillId="0" borderId="52" xfId="0" applyNumberFormat="1" applyFont="1" applyBorder="1" applyAlignment="1">
      <alignment horizontal="right"/>
    </xf>
    <xf numFmtId="3" fontId="23" fillId="0" borderId="47" xfId="0" applyNumberFormat="1" applyFont="1" applyBorder="1" applyAlignment="1">
      <alignment horizontal="right"/>
    </xf>
    <xf numFmtId="3" fontId="23" fillId="0" borderId="15" xfId="0" applyNumberFormat="1" applyFont="1" applyBorder="1" applyAlignment="1">
      <alignment horizontal="right"/>
    </xf>
    <xf numFmtId="3" fontId="23" fillId="0" borderId="16" xfId="0" applyNumberFormat="1" applyFont="1" applyBorder="1" applyAlignment="1">
      <alignment horizontal="right"/>
    </xf>
    <xf numFmtId="3" fontId="23" fillId="0" borderId="17" xfId="0" applyNumberFormat="1" applyFont="1" applyBorder="1" applyAlignment="1">
      <alignment horizontal="right"/>
    </xf>
    <xf numFmtId="3" fontId="23" fillId="0" borderId="54" xfId="0" applyNumberFormat="1" applyFont="1" applyBorder="1" applyAlignment="1">
      <alignment horizontal="right"/>
    </xf>
    <xf numFmtId="3" fontId="23" fillId="0" borderId="50" xfId="0" applyNumberFormat="1" applyFont="1" applyBorder="1" applyAlignment="1">
      <alignment horizontal="right"/>
    </xf>
    <xf numFmtId="0" fontId="23" fillId="0" borderId="0" xfId="0" applyFont="1"/>
    <xf numFmtId="0" fontId="24" fillId="0" borderId="26" xfId="0" applyFont="1" applyBorder="1" applyAlignment="1">
      <alignment horizontal="center"/>
    </xf>
    <xf numFmtId="0" fontId="24" fillId="0" borderId="27" xfId="0" applyFont="1" applyBorder="1" applyAlignment="1">
      <alignment horizontal="center"/>
    </xf>
    <xf numFmtId="0" fontId="24" fillId="0" borderId="28" xfId="0" applyFont="1" applyBorder="1" applyAlignment="1">
      <alignment horizontal="center"/>
    </xf>
    <xf numFmtId="0" fontId="24" fillId="0" borderId="44" xfId="0" applyFont="1" applyBorder="1" applyAlignment="1">
      <alignment horizontal="center"/>
    </xf>
    <xf numFmtId="0" fontId="24" fillId="0" borderId="45" xfId="0" applyFont="1" applyBorder="1" applyAlignment="1">
      <alignment horizontal="center"/>
    </xf>
    <xf numFmtId="0" fontId="25" fillId="0" borderId="0" xfId="0" applyFont="1"/>
    <xf numFmtId="0" fontId="23" fillId="3" borderId="33" xfId="0" applyFont="1" applyFill="1" applyBorder="1" applyAlignment="1">
      <alignment horizontal="left"/>
    </xf>
    <xf numFmtId="0" fontId="23" fillId="3" borderId="30" xfId="0" applyFont="1" applyFill="1" applyBorder="1" applyAlignment="1">
      <alignment horizontal="left"/>
    </xf>
    <xf numFmtId="0" fontId="23" fillId="0" borderId="30" xfId="0" applyFont="1" applyBorder="1" applyAlignment="1">
      <alignment horizontal="left"/>
    </xf>
    <xf numFmtId="0" fontId="23" fillId="0" borderId="31" xfId="0" applyFont="1" applyBorder="1" applyAlignment="1">
      <alignment horizontal="left"/>
    </xf>
    <xf numFmtId="0" fontId="23" fillId="3" borderId="29" xfId="0" applyFont="1" applyFill="1" applyBorder="1" applyAlignment="1">
      <alignment horizontal="left"/>
    </xf>
    <xf numFmtId="0" fontId="23" fillId="0" borderId="32" xfId="0" applyFont="1" applyBorder="1" applyAlignment="1">
      <alignment horizontal="left"/>
    </xf>
    <xf numFmtId="0" fontId="26" fillId="0" borderId="0" xfId="0" applyFont="1"/>
    <xf numFmtId="0" fontId="23" fillId="0" borderId="0" xfId="0" applyFont="1" applyAlignment="1">
      <alignment wrapText="1"/>
    </xf>
    <xf numFmtId="0" fontId="23" fillId="0" borderId="29" xfId="0" applyFont="1" applyBorder="1" applyAlignment="1">
      <alignment horizontal="left"/>
    </xf>
    <xf numFmtId="2" fontId="0" fillId="0" borderId="0" xfId="0" applyNumberFormat="1" applyAlignment="1"/>
    <xf numFmtId="3" fontId="23" fillId="0" borderId="0" xfId="0" applyNumberFormat="1" applyFont="1" applyAlignment="1">
      <alignment horizontal="center" wrapText="1"/>
    </xf>
    <xf numFmtId="167" fontId="0" fillId="0" borderId="0" xfId="0" applyNumberFormat="1" applyAlignment="1">
      <alignment wrapText="1"/>
    </xf>
    <xf numFmtId="3" fontId="0" fillId="0" borderId="0" xfId="0" applyNumberFormat="1" applyAlignment="1">
      <alignment wrapText="1"/>
    </xf>
    <xf numFmtId="3" fontId="27" fillId="3" borderId="13" xfId="0" applyNumberFormat="1" applyFont="1" applyFill="1" applyBorder="1" applyAlignment="1">
      <alignment horizontal="right"/>
    </xf>
    <xf numFmtId="3" fontId="27" fillId="3" borderId="7" xfId="0" applyNumberFormat="1" applyFont="1" applyFill="1" applyBorder="1" applyAlignment="1">
      <alignment horizontal="right"/>
    </xf>
    <xf numFmtId="3" fontId="27" fillId="3" borderId="14" xfId="0" applyNumberFormat="1" applyFont="1" applyFill="1" applyBorder="1" applyAlignment="1">
      <alignment horizontal="right"/>
    </xf>
    <xf numFmtId="3" fontId="27" fillId="0" borderId="13" xfId="0" applyNumberFormat="1" applyFont="1" applyBorder="1" applyAlignment="1">
      <alignment horizontal="right"/>
    </xf>
    <xf numFmtId="3" fontId="27" fillId="0" borderId="7" xfId="0" applyNumberFormat="1" applyFont="1" applyBorder="1" applyAlignment="1">
      <alignment horizontal="right"/>
    </xf>
    <xf numFmtId="3" fontId="27" fillId="0" borderId="14" xfId="0" applyNumberFormat="1" applyFont="1" applyBorder="1" applyAlignment="1">
      <alignment horizontal="right"/>
    </xf>
    <xf numFmtId="3" fontId="27" fillId="3" borderId="10" xfId="0" applyNumberFormat="1" applyFont="1" applyFill="1" applyBorder="1" applyAlignment="1">
      <alignment horizontal="right"/>
    </xf>
    <xf numFmtId="3" fontId="27" fillId="3" borderId="11" xfId="0" applyNumberFormat="1" applyFont="1" applyFill="1" applyBorder="1" applyAlignment="1">
      <alignment horizontal="right"/>
    </xf>
    <xf numFmtId="3" fontId="27" fillId="3" borderId="12" xfId="0" applyNumberFormat="1" applyFont="1" applyFill="1" applyBorder="1" applyAlignment="1">
      <alignment horizontal="right"/>
    </xf>
    <xf numFmtId="3" fontId="27" fillId="0" borderId="15" xfId="0" applyNumberFormat="1" applyFont="1" applyBorder="1" applyAlignment="1">
      <alignment horizontal="right"/>
    </xf>
    <xf numFmtId="3" fontId="27" fillId="0" borderId="16" xfId="0" applyNumberFormat="1" applyFont="1" applyBorder="1" applyAlignment="1">
      <alignment horizontal="right"/>
    </xf>
    <xf numFmtId="3" fontId="27" fillId="0" borderId="17" xfId="0" applyNumberFormat="1" applyFont="1" applyBorder="1" applyAlignment="1">
      <alignment horizontal="right"/>
    </xf>
    <xf numFmtId="0" fontId="19" fillId="0" borderId="0" xfId="0" applyFont="1" applyAlignment="1">
      <alignment wrapText="1"/>
    </xf>
    <xf numFmtId="3" fontId="27" fillId="3" borderId="53" xfId="0" applyNumberFormat="1" applyFont="1" applyFill="1" applyBorder="1" applyAlignment="1">
      <alignment horizontal="right"/>
    </xf>
    <xf numFmtId="3" fontId="27" fillId="3" borderId="49" xfId="0" applyNumberFormat="1" applyFont="1" applyFill="1" applyBorder="1" applyAlignment="1">
      <alignment horizontal="right"/>
    </xf>
    <xf numFmtId="3" fontId="27" fillId="3" borderId="52" xfId="0" applyNumberFormat="1" applyFont="1" applyFill="1" applyBorder="1" applyAlignment="1">
      <alignment horizontal="right"/>
    </xf>
    <xf numFmtId="3" fontId="27" fillId="3" borderId="47" xfId="0" applyNumberFormat="1" applyFont="1" applyFill="1" applyBorder="1" applyAlignment="1">
      <alignment horizontal="right"/>
    </xf>
    <xf numFmtId="3" fontId="27" fillId="0" borderId="52" xfId="0" applyNumberFormat="1" applyFont="1" applyBorder="1" applyAlignment="1">
      <alignment horizontal="right"/>
    </xf>
    <xf numFmtId="3" fontId="27" fillId="0" borderId="47" xfId="0" applyNumberFormat="1" applyFont="1" applyBorder="1" applyAlignment="1">
      <alignment horizontal="right"/>
    </xf>
    <xf numFmtId="3" fontId="27" fillId="0" borderId="54" xfId="0" applyNumberFormat="1" applyFont="1" applyBorder="1" applyAlignment="1">
      <alignment horizontal="right"/>
    </xf>
    <xf numFmtId="3" fontId="27" fillId="0" borderId="50" xfId="0" applyNumberFormat="1" applyFont="1" applyBorder="1" applyAlignment="1">
      <alignment horizontal="right"/>
    </xf>
    <xf numFmtId="3" fontId="26" fillId="0" borderId="15" xfId="0" applyNumberFormat="1" applyFont="1" applyBorder="1" applyAlignment="1">
      <alignment horizontal="right"/>
    </xf>
    <xf numFmtId="3" fontId="26" fillId="0" borderId="16" xfId="0" applyNumberFormat="1" applyFont="1" applyBorder="1" applyAlignment="1">
      <alignment horizontal="right"/>
    </xf>
    <xf numFmtId="3" fontId="26" fillId="0" borderId="17" xfId="0" applyNumberFormat="1" applyFont="1" applyBorder="1" applyAlignment="1">
      <alignment horizontal="right"/>
    </xf>
    <xf numFmtId="3" fontId="19" fillId="0" borderId="15" xfId="0" applyNumberFormat="1" applyFont="1" applyBorder="1" applyAlignment="1">
      <alignment horizontal="right"/>
    </xf>
    <xf numFmtId="3" fontId="19" fillId="0" borderId="16" xfId="0" applyNumberFormat="1" applyFont="1" applyBorder="1" applyAlignment="1">
      <alignment horizontal="right"/>
    </xf>
    <xf numFmtId="3" fontId="19" fillId="0" borderId="17" xfId="0" applyNumberFormat="1" applyFont="1" applyBorder="1" applyAlignment="1">
      <alignment horizontal="right"/>
    </xf>
    <xf numFmtId="3" fontId="19" fillId="0" borderId="54" xfId="0" applyNumberFormat="1" applyFont="1" applyBorder="1" applyAlignment="1">
      <alignment horizontal="right"/>
    </xf>
    <xf numFmtId="3" fontId="19" fillId="0" borderId="50" xfId="0" applyNumberFormat="1" applyFont="1" applyBorder="1" applyAlignment="1">
      <alignment horizontal="right"/>
    </xf>
    <xf numFmtId="0" fontId="29" fillId="0" borderId="26" xfId="0" applyFont="1" applyBorder="1" applyAlignment="1">
      <alignment horizontal="center"/>
    </xf>
    <xf numFmtId="0" fontId="29" fillId="0" borderId="27" xfId="0" applyFont="1" applyBorder="1" applyAlignment="1">
      <alignment horizontal="center"/>
    </xf>
    <xf numFmtId="0" fontId="12" fillId="0" borderId="0" xfId="0" applyFont="1" applyBorder="1" applyAlignment="1">
      <alignment horizontal="left" wrapText="1"/>
    </xf>
    <xf numFmtId="3" fontId="31" fillId="3" borderId="13" xfId="0" applyNumberFormat="1" applyFont="1" applyFill="1" applyBorder="1" applyAlignment="1">
      <alignment horizontal="right"/>
    </xf>
    <xf numFmtId="3" fontId="31" fillId="3" borderId="7" xfId="0" applyNumberFormat="1" applyFont="1" applyFill="1" applyBorder="1" applyAlignment="1">
      <alignment horizontal="right"/>
    </xf>
    <xf numFmtId="0" fontId="30" fillId="3" borderId="10" xfId="2" applyFont="1" applyFill="1" applyBorder="1"/>
    <xf numFmtId="0" fontId="30" fillId="3" borderId="21" xfId="2" applyFont="1" applyFill="1" applyBorder="1"/>
    <xf numFmtId="3" fontId="31" fillId="3" borderId="10" xfId="0" applyNumberFormat="1" applyFont="1" applyFill="1" applyBorder="1" applyAlignment="1">
      <alignment horizontal="right"/>
    </xf>
    <xf numFmtId="3" fontId="31" fillId="3" borderId="11" xfId="0" applyNumberFormat="1" applyFont="1" applyFill="1" applyBorder="1" applyAlignment="1">
      <alignment horizontal="right"/>
    </xf>
    <xf numFmtId="3" fontId="31" fillId="3" borderId="12" xfId="0" applyNumberFormat="1" applyFont="1" applyFill="1" applyBorder="1" applyAlignment="1">
      <alignment horizontal="right"/>
    </xf>
    <xf numFmtId="3" fontId="31" fillId="3" borderId="40" xfId="0" applyNumberFormat="1" applyFont="1" applyFill="1" applyBorder="1" applyAlignment="1">
      <alignment horizontal="right"/>
    </xf>
    <xf numFmtId="3" fontId="31" fillId="3" borderId="21" xfId="0" applyNumberFormat="1" applyFont="1" applyFill="1" applyBorder="1" applyAlignment="1">
      <alignment horizontal="right"/>
    </xf>
    <xf numFmtId="3" fontId="9" fillId="0" borderId="0" xfId="3" applyNumberFormat="1" applyFont="1" applyFill="1" applyBorder="1"/>
    <xf numFmtId="3" fontId="31" fillId="0" borderId="7" xfId="0" applyNumberFormat="1" applyFont="1" applyFill="1" applyBorder="1" applyAlignment="1">
      <alignment horizontal="right"/>
    </xf>
    <xf numFmtId="3" fontId="31" fillId="0" borderId="18" xfId="0" applyNumberFormat="1" applyFont="1" applyFill="1" applyBorder="1" applyAlignment="1">
      <alignment horizontal="right"/>
    </xf>
    <xf numFmtId="3" fontId="31" fillId="3" borderId="15" xfId="0" applyNumberFormat="1" applyFont="1" applyFill="1" applyBorder="1" applyAlignment="1">
      <alignment horizontal="right"/>
    </xf>
    <xf numFmtId="3" fontId="31" fillId="3" borderId="16" xfId="0" applyNumberFormat="1" applyFont="1" applyFill="1" applyBorder="1" applyAlignment="1">
      <alignment horizontal="right"/>
    </xf>
    <xf numFmtId="0" fontId="20" fillId="0" borderId="36" xfId="0" applyFont="1" applyFill="1" applyBorder="1" applyAlignment="1">
      <alignment horizontal="center"/>
    </xf>
    <xf numFmtId="0" fontId="20" fillId="0" borderId="62" xfId="0" applyFont="1" applyFill="1" applyBorder="1" applyAlignment="1">
      <alignment horizontal="center"/>
    </xf>
    <xf numFmtId="0" fontId="20" fillId="0" borderId="65" xfId="0" applyFont="1" applyFill="1" applyBorder="1" applyAlignment="1">
      <alignment horizontal="center"/>
    </xf>
    <xf numFmtId="3" fontId="31" fillId="0" borderId="23" xfId="0" applyNumberFormat="1" applyFont="1" applyFill="1" applyBorder="1" applyAlignment="1">
      <alignment horizontal="right"/>
    </xf>
    <xf numFmtId="3" fontId="31" fillId="0" borderId="24" xfId="0" applyNumberFormat="1" applyFont="1" applyFill="1" applyBorder="1" applyAlignment="1">
      <alignment horizontal="right"/>
    </xf>
    <xf numFmtId="3" fontId="31" fillId="0" borderId="13" xfId="0" applyNumberFormat="1" applyFont="1" applyFill="1" applyBorder="1" applyAlignment="1">
      <alignment horizontal="right"/>
    </xf>
    <xf numFmtId="3" fontId="31" fillId="0" borderId="19" xfId="0" applyNumberFormat="1" applyFont="1" applyFill="1" applyBorder="1" applyAlignment="1">
      <alignment horizontal="right"/>
    </xf>
    <xf numFmtId="0" fontId="12" fillId="0" borderId="0" xfId="0" applyFont="1" applyBorder="1" applyAlignment="1">
      <alignment horizontal="left" wrapText="1"/>
    </xf>
    <xf numFmtId="0" fontId="12" fillId="0" borderId="0" xfId="0" applyFont="1" applyFill="1" applyBorder="1" applyAlignment="1">
      <alignment horizontal="left" wrapText="1"/>
    </xf>
    <xf numFmtId="0" fontId="19" fillId="0" borderId="0" xfId="0" applyFont="1" applyFill="1"/>
    <xf numFmtId="3" fontId="31" fillId="3" borderId="12" xfId="0" applyNumberFormat="1" applyFont="1" applyFill="1" applyBorder="1" applyAlignment="1">
      <alignment horizontal="center" vertical="center"/>
    </xf>
    <xf numFmtId="3" fontId="31" fillId="3" borderId="14" xfId="0" applyNumberFormat="1" applyFont="1" applyFill="1" applyBorder="1" applyAlignment="1">
      <alignment horizontal="center" vertical="center"/>
    </xf>
    <xf numFmtId="3" fontId="31" fillId="3" borderId="17" xfId="0" applyNumberFormat="1" applyFont="1" applyFill="1" applyBorder="1" applyAlignment="1">
      <alignment horizontal="center" vertical="center"/>
    </xf>
    <xf numFmtId="3" fontId="31" fillId="0" borderId="25" xfId="0" applyNumberFormat="1" applyFont="1" applyFill="1" applyBorder="1" applyAlignment="1">
      <alignment horizontal="center" vertical="center"/>
    </xf>
    <xf numFmtId="3" fontId="31" fillId="0" borderId="14" xfId="0" applyNumberFormat="1" applyFont="1" applyFill="1" applyBorder="1" applyAlignment="1">
      <alignment horizontal="center" vertical="center"/>
    </xf>
    <xf numFmtId="3" fontId="31" fillId="0" borderId="20" xfId="0" applyNumberFormat="1" applyFont="1" applyFill="1" applyBorder="1" applyAlignment="1">
      <alignment horizontal="center" vertical="center"/>
    </xf>
    <xf numFmtId="3" fontId="31" fillId="3" borderId="11" xfId="0" applyNumberFormat="1" applyFont="1" applyFill="1" applyBorder="1" applyAlignment="1">
      <alignment horizontal="left" vertical="top"/>
    </xf>
    <xf numFmtId="3" fontId="31" fillId="3" borderId="7" xfId="0" applyNumberFormat="1" applyFont="1" applyFill="1" applyBorder="1" applyAlignment="1">
      <alignment horizontal="left" vertical="top"/>
    </xf>
    <xf numFmtId="3" fontId="31" fillId="3" borderId="16" xfId="0" applyNumberFormat="1" applyFont="1" applyFill="1" applyBorder="1" applyAlignment="1">
      <alignment horizontal="left" vertical="top"/>
    </xf>
    <xf numFmtId="3" fontId="31" fillId="0" borderId="23" xfId="0" applyNumberFormat="1" applyFont="1" applyFill="1" applyBorder="1" applyAlignment="1">
      <alignment horizontal="left" vertical="top"/>
    </xf>
    <xf numFmtId="3" fontId="31" fillId="0" borderId="7" xfId="0" applyNumberFormat="1" applyFont="1" applyFill="1" applyBorder="1" applyAlignment="1">
      <alignment horizontal="left" vertical="top"/>
    </xf>
    <xf numFmtId="3" fontId="31" fillId="0" borderId="18" xfId="0" applyNumberFormat="1" applyFont="1" applyFill="1" applyBorder="1" applyAlignment="1">
      <alignment horizontal="left" vertical="top"/>
    </xf>
    <xf numFmtId="0" fontId="33" fillId="0" borderId="7" xfId="2" applyFont="1" applyBorder="1"/>
    <xf numFmtId="0" fontId="11" fillId="0" borderId="7" xfId="2" applyFill="1" applyBorder="1"/>
    <xf numFmtId="6" fontId="0" fillId="0" borderId="1" xfId="0" applyNumberFormat="1" applyFont="1" applyBorder="1" applyAlignment="1">
      <alignment horizontal="center"/>
    </xf>
    <xf numFmtId="3" fontId="28" fillId="3" borderId="27" xfId="0" applyNumberFormat="1" applyFont="1" applyFill="1" applyBorder="1" applyAlignment="1">
      <alignment horizontal="right"/>
    </xf>
    <xf numFmtId="3" fontId="0" fillId="0" borderId="2" xfId="1" applyNumberFormat="1" applyFont="1" applyBorder="1" applyAlignment="1" applyProtection="1">
      <alignment horizontal="center"/>
    </xf>
    <xf numFmtId="3" fontId="27" fillId="0" borderId="23" xfId="0" applyNumberFormat="1" applyFont="1" applyFill="1" applyBorder="1" applyAlignment="1">
      <alignment horizontal="right"/>
    </xf>
    <xf numFmtId="3" fontId="27" fillId="0" borderId="51" xfId="0" applyNumberFormat="1" applyFont="1" applyFill="1" applyBorder="1" applyAlignment="1">
      <alignment horizontal="right"/>
    </xf>
    <xf numFmtId="3" fontId="27" fillId="0" borderId="46" xfId="0" applyNumberFormat="1" applyFont="1" applyFill="1" applyBorder="1" applyAlignment="1">
      <alignment horizontal="right"/>
    </xf>
    <xf numFmtId="3" fontId="27" fillId="3" borderId="27" xfId="0" applyNumberFormat="1" applyFont="1" applyFill="1" applyBorder="1" applyAlignment="1">
      <alignment horizontal="right"/>
    </xf>
    <xf numFmtId="3" fontId="27" fillId="3" borderId="44" xfId="0" applyNumberFormat="1" applyFont="1" applyFill="1" applyBorder="1" applyAlignment="1">
      <alignment horizontal="right"/>
    </xf>
    <xf numFmtId="3" fontId="20" fillId="0" borderId="27" xfId="0" applyNumberFormat="1" applyFont="1" applyFill="1" applyBorder="1" applyAlignment="1">
      <alignment horizontal="center"/>
    </xf>
    <xf numFmtId="3" fontId="20" fillId="0" borderId="44" xfId="0" applyNumberFormat="1" applyFont="1" applyFill="1" applyBorder="1" applyAlignment="1">
      <alignment horizontal="center"/>
    </xf>
    <xf numFmtId="3" fontId="20" fillId="0" borderId="45" xfId="0" applyNumberFormat="1" applyFont="1" applyFill="1" applyBorder="1" applyAlignment="1">
      <alignment horizontal="center"/>
    </xf>
    <xf numFmtId="0" fontId="22" fillId="0" borderId="0" xfId="2" applyFont="1"/>
    <xf numFmtId="3" fontId="28" fillId="3" borderId="44" xfId="0" applyNumberFormat="1" applyFont="1" applyFill="1" applyBorder="1" applyAlignment="1">
      <alignment horizontal="right"/>
    </xf>
    <xf numFmtId="3" fontId="28" fillId="3" borderId="45" xfId="0" applyNumberFormat="1" applyFont="1" applyFill="1" applyBorder="1" applyAlignment="1">
      <alignment horizontal="right"/>
    </xf>
    <xf numFmtId="9" fontId="12" fillId="0" borderId="0" xfId="0" applyNumberFormat="1" applyFont="1" applyBorder="1" applyAlignment="1">
      <alignment horizontal="left" wrapText="1"/>
    </xf>
    <xf numFmtId="3" fontId="11" fillId="0" borderId="0" xfId="2" applyNumberFormat="1"/>
    <xf numFmtId="0" fontId="20" fillId="0" borderId="0" xfId="0" applyFont="1" applyFill="1"/>
    <xf numFmtId="3" fontId="27" fillId="0" borderId="16" xfId="0" applyNumberFormat="1" applyFont="1" applyFill="1" applyBorder="1" applyAlignment="1">
      <alignment horizontal="right"/>
    </xf>
    <xf numFmtId="3" fontId="27" fillId="0" borderId="37" xfId="0" applyNumberFormat="1" applyFont="1" applyFill="1" applyBorder="1" applyAlignment="1">
      <alignment horizontal="right"/>
    </xf>
    <xf numFmtId="3" fontId="27" fillId="0" borderId="71" xfId="0" applyNumberFormat="1" applyFont="1" applyFill="1" applyBorder="1" applyAlignment="1">
      <alignment horizontal="right"/>
    </xf>
    <xf numFmtId="3" fontId="27" fillId="0" borderId="34" xfId="0" applyNumberFormat="1" applyFont="1" applyFill="1" applyBorder="1" applyAlignment="1">
      <alignment horizontal="right"/>
    </xf>
    <xf numFmtId="0" fontId="35" fillId="0" borderId="0" xfId="2" applyFont="1" applyAlignment="1">
      <alignment horizontal="center"/>
    </xf>
    <xf numFmtId="0" fontId="36" fillId="0" borderId="0" xfId="0" applyFont="1" applyBorder="1" applyAlignment="1">
      <alignment horizontal="center" wrapText="1"/>
    </xf>
    <xf numFmtId="0" fontId="0" fillId="3" borderId="40" xfId="0" applyFill="1" applyBorder="1" applyAlignment="1">
      <alignment horizontal="center"/>
    </xf>
    <xf numFmtId="0" fontId="0" fillId="0" borderId="43" xfId="0" applyBorder="1" applyAlignment="1">
      <alignment horizontal="center"/>
    </xf>
    <xf numFmtId="0" fontId="0" fillId="3" borderId="1" xfId="0" applyFill="1" applyBorder="1" applyAlignment="1">
      <alignment horizontal="center"/>
    </xf>
    <xf numFmtId="0" fontId="0" fillId="0" borderId="9" xfId="0" applyBorder="1" applyAlignment="1">
      <alignment horizontal="center"/>
    </xf>
    <xf numFmtId="0" fontId="37" fillId="0" borderId="0" xfId="0" applyFont="1" applyAlignment="1">
      <alignment horizontal="center"/>
    </xf>
    <xf numFmtId="0" fontId="20" fillId="0" borderId="65" xfId="0" applyFont="1" applyBorder="1" applyAlignment="1">
      <alignment horizontal="center"/>
    </xf>
    <xf numFmtId="0" fontId="20" fillId="0" borderId="73" xfId="0" applyFont="1" applyBorder="1" applyAlignment="1">
      <alignment horizontal="center"/>
    </xf>
    <xf numFmtId="0" fontId="12" fillId="0" borderId="0" xfId="0" applyFont="1" applyBorder="1" applyAlignment="1">
      <alignment horizontal="left" wrapText="1"/>
    </xf>
    <xf numFmtId="0" fontId="44" fillId="0" borderId="0" xfId="0" applyFont="1" applyFill="1"/>
    <xf numFmtId="3" fontId="0" fillId="0" borderId="0" xfId="0" applyNumberFormat="1" applyFill="1"/>
    <xf numFmtId="9" fontId="0" fillId="0" borderId="0" xfId="0" applyNumberFormat="1" applyFill="1"/>
    <xf numFmtId="168" fontId="0" fillId="0" borderId="0" xfId="0" applyNumberFormat="1" applyFill="1"/>
    <xf numFmtId="0" fontId="0" fillId="0" borderId="0" xfId="0" applyFill="1" applyAlignment="1">
      <alignment wrapText="1"/>
    </xf>
    <xf numFmtId="0" fontId="0" fillId="0" borderId="0" xfId="0" applyFill="1" applyAlignment="1">
      <alignment horizontal="left" wrapText="1"/>
    </xf>
    <xf numFmtId="0" fontId="30" fillId="3" borderId="15" xfId="2" applyFont="1" applyFill="1" applyBorder="1"/>
    <xf numFmtId="3" fontId="31" fillId="3" borderId="17" xfId="0" applyNumberFormat="1" applyFont="1" applyFill="1" applyBorder="1" applyAlignment="1">
      <alignment horizontal="right"/>
    </xf>
    <xf numFmtId="3" fontId="31" fillId="3" borderId="43" xfId="0" applyNumberFormat="1" applyFont="1" applyFill="1" applyBorder="1" applyAlignment="1">
      <alignment horizontal="right"/>
    </xf>
    <xf numFmtId="3" fontId="31" fillId="3" borderId="22" xfId="0" applyNumberFormat="1" applyFont="1" applyFill="1" applyBorder="1" applyAlignment="1">
      <alignment horizontal="right"/>
    </xf>
    <xf numFmtId="3" fontId="31" fillId="0" borderId="15" xfId="0" applyNumberFormat="1" applyFont="1" applyFill="1" applyBorder="1" applyAlignment="1">
      <alignment horizontal="right"/>
    </xf>
    <xf numFmtId="3" fontId="31" fillId="0" borderId="16" xfId="0" applyNumberFormat="1" applyFont="1" applyFill="1" applyBorder="1" applyAlignment="1">
      <alignment horizontal="right"/>
    </xf>
    <xf numFmtId="3" fontId="31" fillId="0" borderId="17" xfId="0" applyNumberFormat="1" applyFont="1" applyFill="1" applyBorder="1" applyAlignment="1">
      <alignment horizontal="right"/>
    </xf>
    <xf numFmtId="0" fontId="30" fillId="0" borderId="24" xfId="2" applyFont="1" applyFill="1" applyBorder="1"/>
    <xf numFmtId="0" fontId="30" fillId="0" borderId="6" xfId="2" applyFont="1" applyFill="1" applyBorder="1"/>
    <xf numFmtId="3" fontId="31" fillId="0" borderId="25" xfId="0" applyNumberFormat="1" applyFont="1" applyFill="1" applyBorder="1" applyAlignment="1">
      <alignment horizontal="right"/>
    </xf>
    <xf numFmtId="3" fontId="31" fillId="0" borderId="1" xfId="0" applyNumberFormat="1" applyFont="1" applyFill="1" applyBorder="1" applyAlignment="1">
      <alignment horizontal="right"/>
    </xf>
    <xf numFmtId="3" fontId="31" fillId="0" borderId="6" xfId="0" applyNumberFormat="1" applyFont="1" applyFill="1" applyBorder="1" applyAlignment="1">
      <alignment horizontal="right"/>
    </xf>
    <xf numFmtId="0" fontId="8" fillId="0" borderId="0" xfId="2" applyFont="1"/>
    <xf numFmtId="0" fontId="0" fillId="0" borderId="58" xfId="0" applyFont="1" applyFill="1" applyBorder="1"/>
    <xf numFmtId="6" fontId="0" fillId="0" borderId="0" xfId="0" applyNumberFormat="1" applyFont="1" applyBorder="1" applyAlignment="1">
      <alignment horizontal="center"/>
    </xf>
    <xf numFmtId="0" fontId="12" fillId="0" borderId="0" xfId="0" applyFont="1" applyBorder="1" applyAlignment="1">
      <alignment horizontal="left" wrapText="1"/>
    </xf>
    <xf numFmtId="3" fontId="0" fillId="0" borderId="0" xfId="1" applyNumberFormat="1" applyFont="1" applyFill="1" applyBorder="1" applyAlignment="1" applyProtection="1">
      <alignment horizontal="center"/>
    </xf>
    <xf numFmtId="0" fontId="40" fillId="0" borderId="0" xfId="0" applyFont="1" applyFill="1"/>
    <xf numFmtId="0" fontId="0" fillId="0" borderId="0" xfId="0" applyFill="1" applyAlignment="1">
      <alignment horizontal="center"/>
    </xf>
    <xf numFmtId="0" fontId="0" fillId="0" borderId="0" xfId="0" applyFont="1" applyFill="1" applyAlignment="1">
      <alignment horizontal="center"/>
    </xf>
    <xf numFmtId="0" fontId="0" fillId="0" borderId="0" xfId="0" applyFont="1" applyFill="1"/>
    <xf numFmtId="0" fontId="13" fillId="0" borderId="0" xfId="0" applyFont="1" applyFill="1"/>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3" fontId="0" fillId="0" borderId="11" xfId="0" applyNumberFormat="1" applyFill="1" applyBorder="1"/>
    <xf numFmtId="0" fontId="13" fillId="0" borderId="70" xfId="0" applyFont="1" applyFill="1" applyBorder="1" applyAlignment="1">
      <alignment horizontal="center"/>
    </xf>
    <xf numFmtId="3" fontId="0" fillId="0" borderId="13" xfId="0" applyNumberFormat="1" applyFill="1" applyBorder="1"/>
    <xf numFmtId="3" fontId="0" fillId="0" borderId="7" xfId="0" applyNumberFormat="1" applyFill="1" applyBorder="1"/>
    <xf numFmtId="3" fontId="0" fillId="0" borderId="15" xfId="0" applyNumberFormat="1" applyFill="1" applyBorder="1"/>
    <xf numFmtId="3" fontId="0" fillId="0" borderId="16" xfId="0" applyNumberFormat="1" applyFill="1" applyBorder="1"/>
    <xf numFmtId="0" fontId="0" fillId="0" borderId="0" xfId="0" applyFont="1" applyFill="1" applyBorder="1" applyAlignment="1">
      <alignment horizontal="center" vertical="center"/>
    </xf>
    <xf numFmtId="3" fontId="0" fillId="0" borderId="0" xfId="0" applyNumberFormat="1" applyFill="1" applyBorder="1"/>
    <xf numFmtId="0" fontId="20" fillId="0" borderId="28" xfId="0" applyFont="1" applyFill="1" applyBorder="1" applyAlignment="1">
      <alignment horizontal="center" vertical="center"/>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13" fillId="0" borderId="3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2" xfId="0" applyFont="1" applyFill="1" applyBorder="1" applyAlignment="1">
      <alignment horizontal="center" vertical="center"/>
    </xf>
    <xf numFmtId="0" fontId="13" fillId="0" borderId="26" xfId="0" applyFont="1" applyFill="1" applyBorder="1" applyAlignment="1">
      <alignment horizontal="center"/>
    </xf>
    <xf numFmtId="0" fontId="13" fillId="0" borderId="27" xfId="0" applyFont="1" applyFill="1" applyBorder="1" applyAlignment="1">
      <alignment horizontal="center"/>
    </xf>
    <xf numFmtId="0" fontId="0" fillId="0" borderId="0" xfId="0" applyFont="1" applyAlignment="1"/>
    <xf numFmtId="0" fontId="30" fillId="0" borderId="0" xfId="2" applyFont="1" applyFill="1"/>
    <xf numFmtId="0" fontId="34" fillId="0" borderId="0" xfId="2" applyFont="1" applyFill="1"/>
    <xf numFmtId="0" fontId="34" fillId="0" borderId="66" xfId="2" applyFont="1" applyFill="1" applyBorder="1"/>
    <xf numFmtId="3" fontId="28" fillId="0" borderId="26" xfId="0" applyNumberFormat="1" applyFont="1" applyFill="1" applyBorder="1" applyAlignment="1">
      <alignment horizontal="right"/>
    </xf>
    <xf numFmtId="3" fontId="28" fillId="0" borderId="27" xfId="0" applyNumberFormat="1" applyFont="1" applyFill="1" applyBorder="1" applyAlignment="1">
      <alignment horizontal="right"/>
    </xf>
    <xf numFmtId="3" fontId="28" fillId="0" borderId="28" xfId="0" applyNumberFormat="1" applyFont="1" applyFill="1" applyBorder="1" applyAlignment="1">
      <alignment horizontal="right"/>
    </xf>
    <xf numFmtId="3" fontId="28" fillId="0" borderId="68" xfId="0" applyNumberFormat="1" applyFont="1" applyFill="1" applyBorder="1" applyAlignment="1">
      <alignment horizontal="right"/>
    </xf>
    <xf numFmtId="3" fontId="28" fillId="0" borderId="35" xfId="0" applyNumberFormat="1" applyFont="1" applyFill="1" applyBorder="1" applyAlignment="1">
      <alignment horizontal="right"/>
    </xf>
    <xf numFmtId="3" fontId="28" fillId="0" borderId="72" xfId="0" applyNumberFormat="1" applyFont="1" applyFill="1" applyBorder="1" applyAlignment="1">
      <alignment horizontal="right"/>
    </xf>
    <xf numFmtId="0" fontId="30" fillId="3" borderId="84" xfId="2" applyFont="1" applyFill="1" applyBorder="1"/>
    <xf numFmtId="0" fontId="30" fillId="0" borderId="38" xfId="2" applyFont="1" applyFill="1" applyBorder="1"/>
    <xf numFmtId="0" fontId="30" fillId="0" borderId="19" xfId="2" applyFont="1" applyFill="1" applyBorder="1"/>
    <xf numFmtId="3" fontId="31" fillId="0" borderId="38" xfId="0" applyNumberFormat="1" applyFont="1" applyFill="1" applyBorder="1" applyAlignment="1">
      <alignment horizontal="right"/>
    </xf>
    <xf numFmtId="3" fontId="31" fillId="0" borderId="20" xfId="0" applyNumberFormat="1" applyFont="1" applyFill="1" applyBorder="1" applyAlignment="1">
      <alignment horizontal="right"/>
    </xf>
    <xf numFmtId="3" fontId="31" fillId="0" borderId="9" xfId="0" applyNumberFormat="1" applyFont="1" applyFill="1" applyBorder="1" applyAlignment="1">
      <alignment horizontal="right"/>
    </xf>
    <xf numFmtId="3" fontId="28" fillId="0" borderId="45" xfId="0" applyNumberFormat="1" applyFont="1" applyFill="1" applyBorder="1" applyAlignment="1">
      <alignment horizontal="right"/>
    </xf>
    <xf numFmtId="0" fontId="0" fillId="5" borderId="58" xfId="0" applyFont="1" applyFill="1" applyBorder="1"/>
    <xf numFmtId="0" fontId="45" fillId="6" borderId="7" xfId="0" applyFont="1" applyFill="1" applyBorder="1" applyAlignment="1">
      <alignment horizontal="center" vertical="center"/>
    </xf>
    <xf numFmtId="3" fontId="45" fillId="6" borderId="7" xfId="0" applyNumberFormat="1" applyFont="1" applyFill="1" applyBorder="1" applyAlignment="1">
      <alignment horizontal="center" vertical="center"/>
    </xf>
    <xf numFmtId="0" fontId="45" fillId="6" borderId="5" xfId="0" applyFont="1" applyFill="1" applyBorder="1" applyAlignment="1">
      <alignment horizontal="center" vertical="center"/>
    </xf>
    <xf numFmtId="6" fontId="45" fillId="6" borderId="5" xfId="0" applyNumberFormat="1" applyFont="1" applyFill="1" applyBorder="1" applyAlignment="1">
      <alignment horizontal="center" vertical="center"/>
    </xf>
    <xf numFmtId="0" fontId="0" fillId="0" borderId="0" xfId="0" applyFill="1" applyAlignment="1"/>
    <xf numFmtId="3" fontId="0" fillId="0" borderId="2" xfId="1" applyNumberFormat="1" applyFont="1" applyFill="1" applyBorder="1" applyAlignment="1" applyProtection="1">
      <alignment horizontal="center"/>
    </xf>
    <xf numFmtId="0" fontId="41" fillId="0" borderId="0" xfId="0" applyFont="1" applyFill="1"/>
    <xf numFmtId="0" fontId="42" fillId="0" borderId="0" xfId="0" applyFont="1" applyFill="1"/>
    <xf numFmtId="0" fontId="42" fillId="0" borderId="0" xfId="0" applyFont="1" applyFill="1" applyAlignment="1">
      <alignment horizontal="center"/>
    </xf>
    <xf numFmtId="3" fontId="42" fillId="0" borderId="0" xfId="0" applyNumberFormat="1" applyFont="1" applyFill="1"/>
    <xf numFmtId="0" fontId="43" fillId="0" borderId="0" xfId="0" applyFont="1" applyFill="1" applyAlignment="1">
      <alignment horizontal="center"/>
    </xf>
    <xf numFmtId="0" fontId="43" fillId="0" borderId="0" xfId="0" applyFont="1" applyFill="1"/>
    <xf numFmtId="3" fontId="43" fillId="0" borderId="0" xfId="0" applyNumberFormat="1" applyFont="1" applyFill="1"/>
    <xf numFmtId="9" fontId="42" fillId="0" borderId="0" xfId="0" applyNumberFormat="1" applyFont="1" applyFill="1"/>
    <xf numFmtId="0" fontId="20" fillId="0" borderId="28" xfId="0" applyFont="1" applyFill="1" applyBorder="1" applyAlignment="1">
      <alignment horizontal="center"/>
    </xf>
    <xf numFmtId="3" fontId="0" fillId="0" borderId="14" xfId="0" applyNumberFormat="1" applyFill="1" applyBorder="1" applyAlignment="1">
      <alignment horizontal="center"/>
    </xf>
    <xf numFmtId="3" fontId="0" fillId="0" borderId="17" xfId="0" applyNumberFormat="1" applyFill="1" applyBorder="1" applyAlignment="1">
      <alignment horizontal="center"/>
    </xf>
    <xf numFmtId="0" fontId="38" fillId="0" borderId="0" xfId="0" applyFont="1" applyAlignment="1">
      <alignment horizontal="center"/>
    </xf>
    <xf numFmtId="0" fontId="12" fillId="0" borderId="0" xfId="0" applyFont="1" applyBorder="1" applyAlignment="1">
      <alignment horizontal="left" wrapText="1"/>
    </xf>
    <xf numFmtId="0" fontId="38" fillId="0" borderId="0" xfId="0" applyFont="1" applyAlignment="1">
      <alignment horizontal="center" wrapText="1"/>
    </xf>
    <xf numFmtId="0" fontId="20" fillId="0" borderId="86" xfId="0" applyFont="1" applyBorder="1" applyAlignment="1">
      <alignment horizontal="center"/>
    </xf>
    <xf numFmtId="165" fontId="27" fillId="3" borderId="12" xfId="0" applyNumberFormat="1" applyFont="1" applyFill="1" applyBorder="1" applyAlignment="1">
      <alignment horizontal="right"/>
    </xf>
    <xf numFmtId="3" fontId="27" fillId="3" borderId="25" xfId="0" applyNumberFormat="1" applyFont="1" applyFill="1" applyBorder="1" applyAlignment="1">
      <alignment horizontal="right"/>
    </xf>
    <xf numFmtId="3" fontId="27" fillId="0" borderId="20" xfId="0" applyNumberFormat="1" applyFont="1" applyBorder="1" applyAlignment="1">
      <alignment horizontal="right"/>
    </xf>
    <xf numFmtId="3" fontId="20" fillId="0" borderId="91" xfId="0" applyNumberFormat="1" applyFont="1" applyFill="1" applyBorder="1" applyAlignment="1">
      <alignment horizontal="center"/>
    </xf>
    <xf numFmtId="3" fontId="27" fillId="3" borderId="92" xfId="0" applyNumberFormat="1" applyFont="1" applyFill="1" applyBorder="1" applyAlignment="1">
      <alignment horizontal="right"/>
    </xf>
    <xf numFmtId="3" fontId="27" fillId="0" borderId="93" xfId="0" applyNumberFormat="1" applyFont="1" applyFill="1" applyBorder="1" applyAlignment="1">
      <alignment horizontal="right"/>
    </xf>
    <xf numFmtId="3" fontId="27" fillId="3" borderId="91" xfId="0" applyNumberFormat="1" applyFont="1" applyFill="1" applyBorder="1" applyAlignment="1">
      <alignment horizontal="right"/>
    </xf>
    <xf numFmtId="0" fontId="20" fillId="0" borderId="94" xfId="0" applyFont="1" applyFill="1" applyBorder="1" applyAlignment="1">
      <alignment horizontal="center"/>
    </xf>
    <xf numFmtId="3" fontId="27" fillId="0" borderId="95" xfId="0" applyNumberFormat="1" applyFont="1" applyFill="1" applyBorder="1" applyAlignment="1">
      <alignment horizontal="right"/>
    </xf>
    <xf numFmtId="3" fontId="28" fillId="3" borderId="91" xfId="0" applyNumberFormat="1" applyFont="1" applyFill="1" applyBorder="1" applyAlignment="1">
      <alignment horizontal="right"/>
    </xf>
    <xf numFmtId="0" fontId="20" fillId="0" borderId="64" xfId="0" applyFont="1" applyFill="1" applyBorder="1" applyAlignment="1">
      <alignment horizontal="center"/>
    </xf>
    <xf numFmtId="3" fontId="31" fillId="3" borderId="5" xfId="0" applyNumberFormat="1" applyFont="1" applyFill="1" applyBorder="1" applyAlignment="1">
      <alignment horizontal="right"/>
    </xf>
    <xf numFmtId="3" fontId="31" fillId="0" borderId="5" xfId="0" applyNumberFormat="1" applyFont="1" applyFill="1" applyBorder="1" applyAlignment="1">
      <alignment horizontal="right"/>
    </xf>
    <xf numFmtId="3" fontId="31" fillId="3" borderId="53" xfId="0" applyNumberFormat="1" applyFont="1" applyFill="1" applyBorder="1" applyAlignment="1">
      <alignment horizontal="right"/>
    </xf>
    <xf numFmtId="3" fontId="31" fillId="3" borderId="52" xfId="0" applyNumberFormat="1" applyFont="1" applyFill="1" applyBorder="1" applyAlignment="1">
      <alignment horizontal="right"/>
    </xf>
    <xf numFmtId="3" fontId="31" fillId="3" borderId="54" xfId="0" applyNumberFormat="1" applyFont="1" applyFill="1" applyBorder="1" applyAlignment="1">
      <alignment horizontal="right"/>
    </xf>
    <xf numFmtId="3" fontId="31" fillId="0" borderId="51" xfId="0" applyNumberFormat="1" applyFont="1" applyFill="1" applyBorder="1" applyAlignment="1">
      <alignment horizontal="right"/>
    </xf>
    <xf numFmtId="3" fontId="31" fillId="0" borderId="52" xfId="0" applyNumberFormat="1" applyFont="1" applyFill="1" applyBorder="1" applyAlignment="1">
      <alignment horizontal="right"/>
    </xf>
    <xf numFmtId="3" fontId="31" fillId="0" borderId="96" xfId="0" applyNumberFormat="1" applyFont="1" applyFill="1" applyBorder="1" applyAlignment="1">
      <alignment horizontal="right"/>
    </xf>
    <xf numFmtId="3" fontId="27" fillId="3" borderId="68" xfId="0" applyNumberFormat="1" applyFont="1" applyFill="1" applyBorder="1" applyAlignment="1">
      <alignment horizontal="right"/>
    </xf>
    <xf numFmtId="3" fontId="0" fillId="0" borderId="12" xfId="0" applyNumberFormat="1" applyFill="1" applyBorder="1" applyAlignment="1">
      <alignment horizontal="center"/>
    </xf>
    <xf numFmtId="0" fontId="0" fillId="0" borderId="0" xfId="0" applyFont="1" applyAlignment="1">
      <alignment horizontal="left"/>
    </xf>
    <xf numFmtId="3" fontId="42" fillId="7" borderId="0" xfId="0" applyNumberFormat="1" applyFont="1" applyFill="1"/>
    <xf numFmtId="3" fontId="0" fillId="0" borderId="29" xfId="0" applyNumberFormat="1" applyFont="1" applyFill="1" applyBorder="1"/>
    <xf numFmtId="3" fontId="0" fillId="0" borderId="10" xfId="0" applyNumberFormat="1" applyFont="1" applyFill="1" applyBorder="1"/>
    <xf numFmtId="3" fontId="0" fillId="0" borderId="11" xfId="0" applyNumberFormat="1" applyFont="1" applyFill="1" applyBorder="1"/>
    <xf numFmtId="3" fontId="0" fillId="0" borderId="31" xfId="0" applyNumberFormat="1" applyFont="1" applyFill="1" applyBorder="1"/>
    <xf numFmtId="3" fontId="0" fillId="0" borderId="19" xfId="0" applyNumberFormat="1" applyFont="1" applyFill="1" applyBorder="1"/>
    <xf numFmtId="3" fontId="0" fillId="0" borderId="18" xfId="0" applyNumberFormat="1" applyFont="1" applyFill="1" applyBorder="1"/>
    <xf numFmtId="0" fontId="32" fillId="0" borderId="0" xfId="0" applyFont="1" applyFill="1"/>
    <xf numFmtId="3" fontId="6" fillId="0" borderId="0" xfId="2" applyNumberFormat="1" applyFont="1" applyFill="1"/>
    <xf numFmtId="165" fontId="0" fillId="0" borderId="2" xfId="1" applyNumberFormat="1" applyFont="1" applyFill="1" applyBorder="1" applyAlignment="1" applyProtection="1">
      <alignment horizontal="center"/>
    </xf>
    <xf numFmtId="169" fontId="20" fillId="0" borderId="0" xfId="0" applyNumberFormat="1" applyFont="1" applyFill="1"/>
    <xf numFmtId="170" fontId="20" fillId="0" borderId="0" xfId="0" applyNumberFormat="1" applyFont="1" applyFill="1"/>
    <xf numFmtId="0" fontId="0" fillId="0" borderId="0" xfId="0" applyFont="1" applyFill="1" applyBorder="1" applyAlignment="1">
      <alignment horizontal="left" wrapText="1"/>
    </xf>
    <xf numFmtId="0" fontId="12" fillId="0" borderId="0" xfId="0" applyFont="1" applyBorder="1" applyAlignment="1">
      <alignment horizontal="left" wrapText="1"/>
    </xf>
    <xf numFmtId="3" fontId="23" fillId="3" borderId="0" xfId="0" applyNumberFormat="1" applyFont="1" applyFill="1" applyBorder="1" applyAlignment="1">
      <alignment horizontal="right"/>
    </xf>
    <xf numFmtId="3" fontId="0" fillId="0" borderId="7" xfId="1" applyNumberFormat="1" applyFont="1" applyFill="1" applyBorder="1" applyAlignment="1" applyProtection="1">
      <alignment horizontal="center"/>
    </xf>
    <xf numFmtId="0" fontId="0" fillId="8" borderId="17" xfId="0" applyFill="1" applyBorder="1" applyAlignment="1">
      <alignment horizontal="center" vertical="center"/>
    </xf>
    <xf numFmtId="0" fontId="0" fillId="8" borderId="3" xfId="0" applyFont="1" applyFill="1" applyBorder="1" applyAlignment="1">
      <alignment horizontal="center" vertical="center"/>
    </xf>
    <xf numFmtId="0" fontId="0" fillId="8" borderId="22" xfId="0" applyFont="1" applyFill="1" applyBorder="1" applyAlignment="1">
      <alignment horizontal="center" vertical="center"/>
    </xf>
    <xf numFmtId="3" fontId="0" fillId="8" borderId="32" xfId="0" applyNumberFormat="1" applyFont="1" applyFill="1" applyBorder="1"/>
    <xf numFmtId="3" fontId="0" fillId="8" borderId="15" xfId="0" applyNumberFormat="1" applyFont="1" applyFill="1" applyBorder="1"/>
    <xf numFmtId="3" fontId="0" fillId="8" borderId="16" xfId="0" applyNumberFormat="1" applyFont="1" applyFill="1" applyBorder="1"/>
    <xf numFmtId="3" fontId="0" fillId="8" borderId="16" xfId="0" applyNumberFormat="1" applyFill="1" applyBorder="1"/>
    <xf numFmtId="3" fontId="0" fillId="8" borderId="23" xfId="0" applyNumberFormat="1" applyFont="1" applyFill="1" applyBorder="1"/>
    <xf numFmtId="3" fontId="0" fillId="8" borderId="10" xfId="0" applyNumberFormat="1" applyFont="1" applyFill="1" applyBorder="1"/>
    <xf numFmtId="3" fontId="0" fillId="8" borderId="11" xfId="0" applyNumberFormat="1" applyFont="1" applyFill="1" applyBorder="1"/>
    <xf numFmtId="0" fontId="0" fillId="0" borderId="7" xfId="0" applyFont="1" applyBorder="1"/>
    <xf numFmtId="0" fontId="0" fillId="0" borderId="7" xfId="0" applyFont="1" applyBorder="1" applyAlignment="1">
      <alignment horizontal="center"/>
    </xf>
    <xf numFmtId="0" fontId="0" fillId="0" borderId="0" xfId="0"/>
    <xf numFmtId="0" fontId="0" fillId="0" borderId="0" xfId="0" applyAlignment="1">
      <alignment horizontal="left" wrapText="1"/>
    </xf>
    <xf numFmtId="0" fontId="46" fillId="0" borderId="0" xfId="0" applyFont="1"/>
    <xf numFmtId="0" fontId="0" fillId="0" borderId="0" xfId="0" applyFont="1" applyBorder="1" applyAlignment="1">
      <alignment horizontal="left" wrapText="1"/>
    </xf>
    <xf numFmtId="3" fontId="0" fillId="0" borderId="7" xfId="1" applyNumberFormat="1" applyFont="1" applyBorder="1" applyAlignment="1" applyProtection="1">
      <alignment horizontal="center"/>
    </xf>
    <xf numFmtId="0" fontId="0" fillId="0" borderId="7" xfId="0" applyFont="1" applyBorder="1" applyAlignment="1">
      <alignment horizontal="center" vertical="center"/>
    </xf>
    <xf numFmtId="0" fontId="0" fillId="0" borderId="0" xfId="0" applyBorder="1" applyAlignment="1">
      <alignment wrapText="1"/>
    </xf>
    <xf numFmtId="0" fontId="0" fillId="0" borderId="0" xfId="0"/>
    <xf numFmtId="0" fontId="0" fillId="0" borderId="0" xfId="0" applyAlignment="1">
      <alignment horizontal="left" wrapText="1"/>
    </xf>
    <xf numFmtId="0" fontId="0" fillId="0" borderId="0" xfId="0" applyAlignment="1">
      <alignment wrapText="1"/>
    </xf>
    <xf numFmtId="0" fontId="27" fillId="0" borderId="17" xfId="0" applyFont="1" applyFill="1" applyBorder="1"/>
    <xf numFmtId="3" fontId="27" fillId="0" borderId="17" xfId="0" applyNumberFormat="1" applyFont="1" applyFill="1" applyBorder="1"/>
    <xf numFmtId="0" fontId="0" fillId="0" borderId="7" xfId="0" applyFill="1" applyBorder="1" applyAlignment="1">
      <alignment horizontal="center" vertical="center"/>
    </xf>
    <xf numFmtId="0" fontId="0" fillId="0" borderId="7" xfId="0" applyBorder="1" applyAlignment="1">
      <alignment horizontal="center" vertical="center"/>
    </xf>
    <xf numFmtId="0" fontId="27" fillId="0" borderId="7" xfId="0" applyFont="1" applyFill="1" applyBorder="1" applyAlignment="1">
      <alignment horizontal="center" vertical="center" wrapText="1"/>
    </xf>
    <xf numFmtId="0" fontId="11" fillId="0" borderId="0" xfId="2" applyBorder="1"/>
    <xf numFmtId="0" fontId="20" fillId="0" borderId="63" xfId="0" applyFont="1" applyFill="1" applyBorder="1" applyAlignment="1">
      <alignment horizontal="center"/>
    </xf>
    <xf numFmtId="3" fontId="31" fillId="3" borderId="3" xfId="0" applyNumberFormat="1" applyFont="1" applyFill="1" applyBorder="1" applyAlignment="1">
      <alignment horizontal="right"/>
    </xf>
    <xf numFmtId="3" fontId="31" fillId="0" borderId="3" xfId="0" applyNumberFormat="1" applyFont="1" applyFill="1" applyBorder="1" applyAlignment="1">
      <alignment horizontal="right"/>
    </xf>
    <xf numFmtId="165" fontId="0" fillId="0" borderId="7" xfId="1" applyNumberFormat="1" applyFont="1" applyFill="1" applyBorder="1" applyAlignment="1" applyProtection="1">
      <alignment horizontal="center"/>
    </xf>
    <xf numFmtId="6" fontId="0" fillId="0" borderId="7" xfId="0" applyNumberFormat="1" applyFont="1" applyBorder="1" applyAlignment="1">
      <alignment horizontal="center"/>
    </xf>
    <xf numFmtId="0" fontId="27" fillId="0" borderId="12" xfId="0" applyFont="1" applyFill="1" applyBorder="1" applyAlignment="1">
      <alignment horizontal="center" vertical="center"/>
    </xf>
    <xf numFmtId="3" fontId="0" fillId="0" borderId="10" xfId="0" applyNumberFormat="1" applyFill="1" applyBorder="1"/>
    <xf numFmtId="0" fontId="27" fillId="0" borderId="14" xfId="0" applyFont="1" applyFill="1" applyBorder="1" applyAlignment="1">
      <alignment horizontal="center" vertical="center"/>
    </xf>
    <xf numFmtId="0" fontId="27" fillId="0" borderId="17" xfId="0" applyFont="1" applyFill="1" applyBorder="1" applyAlignment="1">
      <alignment horizontal="center" vertical="center"/>
    </xf>
    <xf numFmtId="0" fontId="3" fillId="0" borderId="0" xfId="2" applyFont="1" applyFill="1"/>
    <xf numFmtId="0" fontId="3" fillId="0" borderId="0" xfId="2" applyFont="1"/>
    <xf numFmtId="3" fontId="0" fillId="8" borderId="15" xfId="0" applyNumberFormat="1" applyFill="1" applyBorder="1"/>
    <xf numFmtId="0" fontId="20" fillId="8" borderId="26" xfId="0" applyFont="1" applyFill="1" applyBorder="1" applyAlignment="1">
      <alignment horizontal="center" vertical="center"/>
    </xf>
    <xf numFmtId="0" fontId="20" fillId="8" borderId="27" xfId="0" applyFont="1" applyFill="1" applyBorder="1" applyAlignment="1">
      <alignment horizontal="center" vertical="center"/>
    </xf>
    <xf numFmtId="3" fontId="15" fillId="8" borderId="29" xfId="0" applyNumberFormat="1" applyFont="1" applyFill="1" applyBorder="1"/>
    <xf numFmtId="3" fontId="15" fillId="8" borderId="33" xfId="0" applyNumberFormat="1" applyFont="1" applyFill="1" applyBorder="1"/>
    <xf numFmtId="0" fontId="38" fillId="0" borderId="0" xfId="0" applyFont="1" applyAlignment="1">
      <alignment horizontal="center"/>
    </xf>
    <xf numFmtId="0" fontId="24" fillId="0" borderId="0" xfId="0" applyFont="1" applyBorder="1" applyAlignment="1">
      <alignment horizontal="center"/>
    </xf>
    <xf numFmtId="3" fontId="23" fillId="0" borderId="0" xfId="0" applyNumberFormat="1" applyFont="1" applyBorder="1" applyAlignment="1">
      <alignment horizontal="right"/>
    </xf>
    <xf numFmtId="0" fontId="13" fillId="0" borderId="26" xfId="0" applyFont="1" applyBorder="1" applyAlignment="1">
      <alignment horizontal="center"/>
    </xf>
    <xf numFmtId="0" fontId="13" fillId="0" borderId="27" xfId="0" applyFont="1" applyBorder="1" applyAlignment="1">
      <alignment horizontal="center"/>
    </xf>
    <xf numFmtId="3" fontId="27" fillId="8" borderId="7" xfId="0" applyNumberFormat="1" applyFont="1" applyFill="1" applyBorder="1" applyAlignment="1">
      <alignment horizontal="right"/>
    </xf>
    <xf numFmtId="0" fontId="15" fillId="0" borderId="0" xfId="0" applyFont="1"/>
    <xf numFmtId="0" fontId="12" fillId="0" borderId="0" xfId="0" applyFont="1" applyBorder="1" applyAlignment="1">
      <alignment horizontal="left" wrapText="1"/>
    </xf>
    <xf numFmtId="0" fontId="38" fillId="0" borderId="0" xfId="0" applyFont="1" applyAlignment="1">
      <alignment horizontal="center" wrapText="1"/>
    </xf>
    <xf numFmtId="0" fontId="24" fillId="0" borderId="35" xfId="0" applyFont="1" applyBorder="1" applyAlignment="1">
      <alignment horizontal="center"/>
    </xf>
    <xf numFmtId="3" fontId="23" fillId="3" borderId="21" xfId="0" applyNumberFormat="1" applyFont="1" applyFill="1" applyBorder="1" applyAlignment="1">
      <alignment horizontal="right"/>
    </xf>
    <xf numFmtId="3" fontId="23" fillId="0" borderId="3" xfId="0" applyNumberFormat="1" applyFont="1" applyBorder="1" applyAlignment="1">
      <alignment horizontal="right"/>
    </xf>
    <xf numFmtId="3" fontId="51" fillId="0" borderId="0" xfId="0" applyNumberFormat="1" applyFont="1" applyFill="1"/>
    <xf numFmtId="3" fontId="15" fillId="3" borderId="10" xfId="0" applyNumberFormat="1" applyFont="1" applyFill="1" applyBorder="1" applyAlignment="1">
      <alignment horizontal="right"/>
    </xf>
    <xf numFmtId="3" fontId="15" fillId="3" borderId="11" xfId="0" applyNumberFormat="1" applyFont="1" applyFill="1" applyBorder="1" applyAlignment="1">
      <alignment horizontal="right"/>
    </xf>
    <xf numFmtId="3" fontId="15" fillId="3" borderId="12" xfId="0" applyNumberFormat="1" applyFont="1" applyFill="1" applyBorder="1" applyAlignment="1">
      <alignment horizontal="right"/>
    </xf>
    <xf numFmtId="3" fontId="15" fillId="0" borderId="13" xfId="0" applyNumberFormat="1" applyFont="1" applyBorder="1" applyAlignment="1">
      <alignment horizontal="right"/>
    </xf>
    <xf numFmtId="3" fontId="15" fillId="0" borderId="7" xfId="0" applyNumberFormat="1" applyFont="1" applyBorder="1" applyAlignment="1">
      <alignment horizontal="right"/>
    </xf>
    <xf numFmtId="3" fontId="15" fillId="0" borderId="14" xfId="0" applyNumberFormat="1" applyFont="1" applyBorder="1" applyAlignment="1">
      <alignment horizontal="right"/>
    </xf>
    <xf numFmtId="3" fontId="15" fillId="0" borderId="15" xfId="0" applyNumberFormat="1" applyFont="1" applyBorder="1" applyAlignment="1">
      <alignment horizontal="right"/>
    </xf>
    <xf numFmtId="3" fontId="15" fillId="0" borderId="16" xfId="0" applyNumberFormat="1" applyFont="1" applyBorder="1" applyAlignment="1">
      <alignment horizontal="right"/>
    </xf>
    <xf numFmtId="3" fontId="15" fillId="0" borderId="17" xfId="0" applyNumberFormat="1" applyFont="1" applyBorder="1" applyAlignment="1">
      <alignment horizontal="right"/>
    </xf>
    <xf numFmtId="3" fontId="52" fillId="3" borderId="13" xfId="0" applyNumberFormat="1" applyFont="1" applyFill="1" applyBorder="1" applyAlignment="1">
      <alignment horizontal="right"/>
    </xf>
    <xf numFmtId="3" fontId="52" fillId="3" borderId="7" xfId="0" applyNumberFormat="1" applyFont="1" applyFill="1" applyBorder="1" applyAlignment="1">
      <alignment horizontal="right"/>
    </xf>
    <xf numFmtId="3" fontId="52" fillId="3" borderId="14" xfId="0" applyNumberFormat="1" applyFont="1" applyFill="1" applyBorder="1" applyAlignment="1">
      <alignment horizontal="right"/>
    </xf>
    <xf numFmtId="3" fontId="52" fillId="0" borderId="13" xfId="0" applyNumberFormat="1" applyFont="1" applyBorder="1" applyAlignment="1">
      <alignment horizontal="right"/>
    </xf>
    <xf numFmtId="3" fontId="52" fillId="0" borderId="7" xfId="0" applyNumberFormat="1" applyFont="1" applyBorder="1" applyAlignment="1">
      <alignment horizontal="right"/>
    </xf>
    <xf numFmtId="3" fontId="52" fillId="0" borderId="14" xfId="0" applyNumberFormat="1" applyFont="1" applyBorder="1" applyAlignment="1">
      <alignment horizontal="right"/>
    </xf>
    <xf numFmtId="3" fontId="52" fillId="3" borderId="12" xfId="0" applyNumberFormat="1" applyFont="1" applyFill="1" applyBorder="1" applyAlignment="1">
      <alignment horizontal="right"/>
    </xf>
    <xf numFmtId="3" fontId="52" fillId="3" borderId="10" xfId="0" applyNumberFormat="1" applyFont="1" applyFill="1" applyBorder="1" applyAlignment="1">
      <alignment horizontal="right"/>
    </xf>
    <xf numFmtId="3" fontId="52" fillId="3" borderId="11" xfId="0" applyNumberFormat="1" applyFont="1" applyFill="1" applyBorder="1" applyAlignment="1">
      <alignment horizontal="right"/>
    </xf>
    <xf numFmtId="3" fontId="15" fillId="3" borderId="13" xfId="0" applyNumberFormat="1" applyFont="1" applyFill="1" applyBorder="1" applyAlignment="1">
      <alignment horizontal="right"/>
    </xf>
    <xf numFmtId="3" fontId="15" fillId="3" borderId="7" xfId="0" applyNumberFormat="1" applyFont="1" applyFill="1" applyBorder="1" applyAlignment="1">
      <alignment horizontal="right"/>
    </xf>
    <xf numFmtId="3" fontId="15" fillId="3" borderId="14" xfId="0" applyNumberFormat="1" applyFont="1" applyFill="1" applyBorder="1" applyAlignment="1">
      <alignment horizontal="right"/>
    </xf>
    <xf numFmtId="3" fontId="47" fillId="3" borderId="11" xfId="0" applyNumberFormat="1" applyFont="1" applyFill="1" applyBorder="1" applyAlignment="1">
      <alignment horizontal="right"/>
    </xf>
    <xf numFmtId="3" fontId="47" fillId="3" borderId="12" xfId="0" applyNumberFormat="1" applyFont="1" applyFill="1" applyBorder="1" applyAlignment="1">
      <alignment horizontal="right"/>
    </xf>
    <xf numFmtId="3" fontId="47" fillId="3" borderId="40" xfId="0" applyNumberFormat="1" applyFont="1" applyFill="1" applyBorder="1" applyAlignment="1">
      <alignment horizontal="right"/>
    </xf>
    <xf numFmtId="0" fontId="53" fillId="0" borderId="0" xfId="2" applyFont="1"/>
    <xf numFmtId="3" fontId="47" fillId="3" borderId="16" xfId="0" applyNumberFormat="1" applyFont="1" applyFill="1" applyBorder="1" applyAlignment="1">
      <alignment horizontal="right"/>
    </xf>
    <xf numFmtId="3" fontId="47" fillId="3" borderId="43" xfId="0" applyNumberFormat="1" applyFont="1" applyFill="1" applyBorder="1" applyAlignment="1">
      <alignment horizontal="right"/>
    </xf>
    <xf numFmtId="3" fontId="47" fillId="3" borderId="17" xfId="0" applyNumberFormat="1" applyFont="1" applyFill="1" applyBorder="1" applyAlignment="1">
      <alignment horizontal="right"/>
    </xf>
    <xf numFmtId="3" fontId="47" fillId="0" borderId="18" xfId="0" applyNumberFormat="1" applyFont="1" applyFill="1" applyBorder="1" applyAlignment="1">
      <alignment horizontal="right"/>
    </xf>
    <xf numFmtId="3" fontId="47" fillId="0" borderId="9" xfId="0" applyNumberFormat="1" applyFont="1" applyFill="1" applyBorder="1" applyAlignment="1">
      <alignment horizontal="right"/>
    </xf>
    <xf numFmtId="3" fontId="47" fillId="0" borderId="20" xfId="0" applyNumberFormat="1" applyFont="1" applyFill="1" applyBorder="1" applyAlignment="1">
      <alignment horizontal="right"/>
    </xf>
    <xf numFmtId="3" fontId="54" fillId="0" borderId="0" xfId="0" applyNumberFormat="1" applyFont="1" applyFill="1"/>
    <xf numFmtId="3" fontId="54" fillId="7" borderId="0" xfId="0" applyNumberFormat="1" applyFont="1" applyFill="1"/>
    <xf numFmtId="3" fontId="52" fillId="0" borderId="15" xfId="0" applyNumberFormat="1" applyFont="1" applyBorder="1" applyAlignment="1">
      <alignment horizontal="right"/>
    </xf>
    <xf numFmtId="3" fontId="52" fillId="0" borderId="16" xfId="0" applyNumberFormat="1" applyFont="1" applyBorder="1" applyAlignment="1">
      <alignment horizontal="right"/>
    </xf>
    <xf numFmtId="3" fontId="52" fillId="0" borderId="17" xfId="0" applyNumberFormat="1" applyFont="1" applyBorder="1" applyAlignment="1">
      <alignment horizontal="right"/>
    </xf>
    <xf numFmtId="0" fontId="52" fillId="0" borderId="0" xfId="0" applyFont="1"/>
    <xf numFmtId="3" fontId="0" fillId="0" borderId="2" xfId="1" applyNumberFormat="1" applyFont="1" applyBorder="1" applyAlignment="1" applyProtection="1">
      <alignment horizontal="center"/>
    </xf>
    <xf numFmtId="165" fontId="0" fillId="0" borderId="2" xfId="1" applyNumberFormat="1" applyFont="1" applyBorder="1" applyAlignment="1" applyProtection="1">
      <alignment horizontal="center"/>
    </xf>
    <xf numFmtId="0" fontId="2" fillId="0" borderId="0" xfId="2" applyFont="1"/>
    <xf numFmtId="165" fontId="0" fillId="0" borderId="2" xfId="1" applyNumberFormat="1" applyFont="1" applyBorder="1" applyAlignment="1" applyProtection="1">
      <alignment horizontal="center"/>
    </xf>
    <xf numFmtId="0" fontId="20" fillId="0" borderId="45" xfId="0" applyFont="1" applyBorder="1" applyAlignment="1">
      <alignment horizontal="center"/>
    </xf>
    <xf numFmtId="0" fontId="12" fillId="0" borderId="0" xfId="0" applyFont="1" applyBorder="1" applyAlignment="1">
      <alignment horizontal="left" wrapText="1"/>
    </xf>
    <xf numFmtId="3" fontId="27" fillId="3" borderId="24" xfId="0" applyNumberFormat="1" applyFont="1" applyFill="1" applyBorder="1" applyAlignment="1">
      <alignment horizontal="right"/>
    </xf>
    <xf numFmtId="3" fontId="27" fillId="3" borderId="23" xfId="0" applyNumberFormat="1" applyFont="1" applyFill="1" applyBorder="1" applyAlignment="1">
      <alignment horizontal="right"/>
    </xf>
    <xf numFmtId="3" fontId="27" fillId="3" borderId="76" xfId="0" applyNumberFormat="1" applyFont="1" applyFill="1" applyBorder="1" applyAlignment="1">
      <alignment horizontal="right"/>
    </xf>
    <xf numFmtId="3" fontId="27" fillId="3" borderId="89" xfId="0" applyNumberFormat="1" applyFont="1" applyFill="1" applyBorder="1" applyAlignment="1">
      <alignment horizontal="right"/>
    </xf>
    <xf numFmtId="3" fontId="27" fillId="0" borderId="75" xfId="0" applyNumberFormat="1" applyFont="1" applyBorder="1" applyAlignment="1">
      <alignment horizontal="right"/>
    </xf>
    <xf numFmtId="3" fontId="27" fillId="0" borderId="88" xfId="0" applyNumberFormat="1" applyFont="1" applyBorder="1" applyAlignment="1">
      <alignment horizontal="right"/>
    </xf>
    <xf numFmtId="3" fontId="27" fillId="0" borderId="19" xfId="0" applyNumberFormat="1" applyFont="1" applyBorder="1" applyAlignment="1">
      <alignment horizontal="right"/>
    </xf>
    <xf numFmtId="3" fontId="27" fillId="0" borderId="18" xfId="0" applyNumberFormat="1" applyFont="1" applyBorder="1" applyAlignment="1">
      <alignment horizontal="right"/>
    </xf>
    <xf numFmtId="3" fontId="27" fillId="0" borderId="77" xfId="0" applyNumberFormat="1" applyFont="1" applyBorder="1" applyAlignment="1">
      <alignment horizontal="right"/>
    </xf>
    <xf numFmtId="3" fontId="27" fillId="0" borderId="90" xfId="0" applyNumberFormat="1" applyFont="1" applyBorder="1" applyAlignment="1">
      <alignment horizontal="right"/>
    </xf>
    <xf numFmtId="165" fontId="27" fillId="3" borderId="10" xfId="0" applyNumberFormat="1" applyFont="1" applyFill="1" applyBorder="1" applyAlignment="1">
      <alignment horizontal="right"/>
    </xf>
    <xf numFmtId="165" fontId="27" fillId="3" borderId="11" xfId="0" applyNumberFormat="1" applyFont="1" applyFill="1" applyBorder="1" applyAlignment="1">
      <alignment horizontal="right"/>
    </xf>
    <xf numFmtId="165" fontId="27" fillId="3" borderId="74" xfId="0" applyNumberFormat="1" applyFont="1" applyFill="1" applyBorder="1" applyAlignment="1">
      <alignment horizontal="right"/>
    </xf>
    <xf numFmtId="165" fontId="27" fillId="3" borderId="87" xfId="0" applyNumberFormat="1" applyFont="1" applyFill="1" applyBorder="1" applyAlignment="1">
      <alignment horizontal="right"/>
    </xf>
    <xf numFmtId="0" fontId="13" fillId="0" borderId="0" xfId="0" applyFont="1"/>
    <xf numFmtId="0" fontId="0" fillId="0" borderId="0" xfId="0" applyFont="1" applyAlignment="1">
      <alignment horizontal="center"/>
    </xf>
    <xf numFmtId="0" fontId="13" fillId="0" borderId="28" xfId="0" applyFont="1" applyFill="1" applyBorder="1" applyAlignment="1">
      <alignment horizontal="center" vertical="center"/>
    </xf>
    <xf numFmtId="0" fontId="0" fillId="0" borderId="12" xfId="0" applyFont="1" applyFill="1" applyBorder="1" applyAlignment="1">
      <alignment horizontal="center" vertical="center"/>
    </xf>
    <xf numFmtId="3" fontId="0" fillId="2" borderId="10" xfId="0" applyNumberFormat="1" applyFont="1" applyFill="1" applyBorder="1"/>
    <xf numFmtId="3" fontId="0" fillId="2" borderId="11" xfId="0" applyNumberFormat="1" applyFont="1" applyFill="1" applyBorder="1"/>
    <xf numFmtId="0" fontId="0" fillId="0" borderId="14" xfId="0" applyFont="1" applyFill="1" applyBorder="1" applyAlignment="1">
      <alignment horizontal="center" vertical="center"/>
    </xf>
    <xf numFmtId="3" fontId="0" fillId="2" borderId="13" xfId="0" applyNumberFormat="1" applyFont="1" applyFill="1" applyBorder="1"/>
    <xf numFmtId="3" fontId="0" fillId="2" borderId="7" xfId="0" applyNumberFormat="1" applyFont="1" applyFill="1" applyBorder="1"/>
    <xf numFmtId="0" fontId="0" fillId="0" borderId="17" xfId="0" applyFont="1" applyFill="1" applyBorder="1" applyAlignment="1">
      <alignment horizontal="center" vertical="center"/>
    </xf>
    <xf numFmtId="3" fontId="0" fillId="2" borderId="15" xfId="0" applyNumberFormat="1" applyFont="1" applyFill="1" applyBorder="1"/>
    <xf numFmtId="3" fontId="0" fillId="2" borderId="16" xfId="0" applyNumberFormat="1" applyFont="1" applyFill="1" applyBorder="1"/>
    <xf numFmtId="0" fontId="0" fillId="8" borderId="25" xfId="0" applyFont="1" applyFill="1" applyBorder="1" applyAlignment="1">
      <alignment horizontal="center" vertical="center"/>
    </xf>
    <xf numFmtId="3" fontId="0" fillId="8" borderId="24" xfId="0" applyNumberFormat="1" applyFont="1" applyFill="1" applyBorder="1"/>
    <xf numFmtId="0" fontId="0" fillId="8" borderId="14" xfId="0" applyFont="1" applyFill="1" applyBorder="1" applyAlignment="1">
      <alignment horizontal="center" vertical="center"/>
    </xf>
    <xf numFmtId="3" fontId="0" fillId="8" borderId="13" xfId="0" applyNumberFormat="1" applyFont="1" applyFill="1" applyBorder="1"/>
    <xf numFmtId="3" fontId="0" fillId="8" borderId="7" xfId="0" applyNumberFormat="1" applyFont="1" applyFill="1" applyBorder="1"/>
    <xf numFmtId="0" fontId="0" fillId="8" borderId="20" xfId="0" applyFont="1" applyFill="1" applyBorder="1" applyAlignment="1">
      <alignment horizontal="center" vertical="center"/>
    </xf>
    <xf numFmtId="3" fontId="0" fillId="8" borderId="19" xfId="0" applyNumberFormat="1" applyFont="1" applyFill="1" applyBorder="1"/>
    <xf numFmtId="3" fontId="0" fillId="8" borderId="18" xfId="0" applyNumberFormat="1" applyFont="1" applyFill="1" applyBorder="1"/>
    <xf numFmtId="0" fontId="0" fillId="8" borderId="12" xfId="0" applyFont="1" applyFill="1" applyBorder="1" applyAlignment="1">
      <alignment horizontal="center" vertical="center"/>
    </xf>
    <xf numFmtId="0" fontId="13" fillId="0" borderId="26" xfId="0" applyFont="1" applyBorder="1" applyAlignment="1">
      <alignment horizontal="center" vertical="center"/>
    </xf>
    <xf numFmtId="0" fontId="14" fillId="0" borderId="0" xfId="0" applyFont="1" applyFill="1"/>
    <xf numFmtId="174" fontId="0" fillId="0" borderId="9" xfId="0" applyNumberFormat="1" applyBorder="1"/>
    <xf numFmtId="0" fontId="29" fillId="0" borderId="60" xfId="0" applyFont="1" applyBorder="1" applyAlignment="1">
      <alignment horizontal="center"/>
    </xf>
    <xf numFmtId="174" fontId="0" fillId="0" borderId="60" xfId="0" applyNumberFormat="1" applyBorder="1"/>
    <xf numFmtId="174" fontId="0" fillId="0" borderId="64" xfId="0" applyNumberFormat="1" applyBorder="1"/>
    <xf numFmtId="174" fontId="0" fillId="0" borderId="65" xfId="0" applyNumberFormat="1" applyBorder="1"/>
    <xf numFmtId="174" fontId="0" fillId="0" borderId="19" xfId="0" applyNumberFormat="1" applyBorder="1"/>
    <xf numFmtId="174" fontId="0" fillId="0" borderId="48" xfId="0" applyNumberFormat="1" applyBorder="1"/>
    <xf numFmtId="174" fontId="0" fillId="0" borderId="15" xfId="0" applyNumberFormat="1" applyBorder="1"/>
    <xf numFmtId="174" fontId="0" fillId="0" borderId="43" xfId="0" applyNumberFormat="1" applyBorder="1"/>
    <xf numFmtId="174" fontId="0" fillId="0" borderId="50" xfId="0" applyNumberFormat="1" applyBorder="1"/>
    <xf numFmtId="0" fontId="29" fillId="0" borderId="36" xfId="0" applyFont="1" applyBorder="1" applyAlignment="1">
      <alignment horizontal="center"/>
    </xf>
    <xf numFmtId="0" fontId="57" fillId="0" borderId="27" xfId="0" applyFont="1" applyBorder="1" applyAlignment="1">
      <alignment horizontal="center"/>
    </xf>
    <xf numFmtId="0" fontId="57" fillId="0" borderId="44" xfId="0" applyFont="1" applyBorder="1" applyAlignment="1">
      <alignment horizontal="center"/>
    </xf>
    <xf numFmtId="0" fontId="57" fillId="0" borderId="45" xfId="0" applyFont="1" applyBorder="1" applyAlignment="1">
      <alignment horizontal="center"/>
    </xf>
    <xf numFmtId="0" fontId="57" fillId="0" borderId="26" xfId="0" applyFont="1" applyBorder="1" applyAlignment="1">
      <alignment horizontal="center"/>
    </xf>
    <xf numFmtId="0" fontId="57" fillId="0" borderId="28" xfId="0" applyFont="1" applyBorder="1" applyAlignment="1">
      <alignment horizontal="center"/>
    </xf>
    <xf numFmtId="0" fontId="58" fillId="0" borderId="27" xfId="0" applyFont="1" applyBorder="1" applyAlignment="1">
      <alignment horizontal="center"/>
    </xf>
    <xf numFmtId="0" fontId="58" fillId="0" borderId="26" xfId="0" applyFont="1" applyBorder="1" applyAlignment="1">
      <alignment horizontal="center"/>
    </xf>
    <xf numFmtId="0" fontId="58" fillId="0" borderId="28" xfId="0" applyFont="1" applyBorder="1" applyAlignment="1">
      <alignment horizontal="center"/>
    </xf>
    <xf numFmtId="0" fontId="58" fillId="0" borderId="44" xfId="0" applyFont="1" applyBorder="1" applyAlignment="1">
      <alignment horizontal="center"/>
    </xf>
    <xf numFmtId="0" fontId="58" fillId="0" borderId="45" xfId="0" applyFont="1" applyBorder="1" applyAlignment="1">
      <alignment horizontal="center"/>
    </xf>
    <xf numFmtId="3" fontId="31" fillId="3" borderId="49" xfId="0" applyNumberFormat="1" applyFont="1" applyFill="1" applyBorder="1" applyAlignment="1">
      <alignment horizontal="right"/>
    </xf>
    <xf numFmtId="3" fontId="31" fillId="3" borderId="14" xfId="0" applyNumberFormat="1" applyFont="1" applyFill="1" applyBorder="1" applyAlignment="1">
      <alignment horizontal="right"/>
    </xf>
    <xf numFmtId="3" fontId="31" fillId="3" borderId="47" xfId="0" applyNumberFormat="1" applyFont="1" applyFill="1" applyBorder="1" applyAlignment="1">
      <alignment horizontal="right"/>
    </xf>
    <xf numFmtId="3" fontId="31" fillId="0" borderId="14" xfId="0" applyNumberFormat="1" applyFont="1" applyBorder="1" applyAlignment="1">
      <alignment horizontal="right"/>
    </xf>
    <xf numFmtId="3" fontId="31" fillId="0" borderId="13" xfId="0" applyNumberFormat="1" applyFont="1" applyBorder="1" applyAlignment="1">
      <alignment horizontal="right"/>
    </xf>
    <xf numFmtId="3" fontId="31" fillId="0" borderId="7" xfId="0" applyNumberFormat="1" applyFont="1" applyBorder="1" applyAlignment="1">
      <alignment horizontal="right"/>
    </xf>
    <xf numFmtId="3" fontId="31" fillId="0" borderId="52" xfId="0" applyNumberFormat="1" applyFont="1" applyBorder="1" applyAlignment="1">
      <alignment horizontal="right"/>
    </xf>
    <xf numFmtId="3" fontId="31" fillId="0" borderId="47" xfId="0" applyNumberFormat="1" applyFont="1" applyBorder="1" applyAlignment="1">
      <alignment horizontal="right"/>
    </xf>
    <xf numFmtId="3" fontId="31" fillId="0" borderId="17" xfId="0" applyNumberFormat="1" applyFont="1" applyBorder="1" applyAlignment="1">
      <alignment horizontal="right"/>
    </xf>
    <xf numFmtId="3" fontId="31" fillId="0" borderId="15" xfId="0" applyNumberFormat="1" applyFont="1" applyBorder="1" applyAlignment="1">
      <alignment horizontal="right"/>
    </xf>
    <xf numFmtId="3" fontId="31" fillId="0" borderId="16" xfId="0" applyNumberFormat="1" applyFont="1" applyBorder="1" applyAlignment="1">
      <alignment horizontal="right"/>
    </xf>
    <xf numFmtId="3" fontId="31" fillId="0" borderId="54" xfId="0" applyNumberFormat="1" applyFont="1" applyBorder="1" applyAlignment="1">
      <alignment horizontal="right"/>
    </xf>
    <xf numFmtId="3" fontId="31" fillId="0" borderId="50" xfId="0" applyNumberFormat="1" applyFont="1" applyBorder="1" applyAlignment="1">
      <alignment horizontal="right"/>
    </xf>
    <xf numFmtId="3" fontId="27" fillId="8" borderId="16" xfId="0" applyNumberFormat="1" applyFont="1" applyFill="1" applyBorder="1"/>
    <xf numFmtId="0" fontId="57" fillId="0" borderId="68" xfId="0" applyFont="1" applyFill="1" applyBorder="1" applyAlignment="1">
      <alignment horizontal="center"/>
    </xf>
    <xf numFmtId="0" fontId="57" fillId="0" borderId="27" xfId="0" applyFont="1" applyFill="1" applyBorder="1" applyAlignment="1">
      <alignment horizontal="center"/>
    </xf>
    <xf numFmtId="0" fontId="57" fillId="0" borderId="28" xfId="0" applyFont="1" applyFill="1" applyBorder="1"/>
    <xf numFmtId="0" fontId="27" fillId="0" borderId="1" xfId="0" applyFont="1" applyFill="1" applyBorder="1"/>
    <xf numFmtId="0" fontId="27" fillId="0" borderId="23" xfId="0" applyFont="1" applyFill="1" applyBorder="1"/>
    <xf numFmtId="0" fontId="27" fillId="0" borderId="25" xfId="0" applyFont="1" applyFill="1" applyBorder="1"/>
    <xf numFmtId="0" fontId="27" fillId="0" borderId="43" xfId="0" applyFont="1" applyFill="1" applyBorder="1"/>
    <xf numFmtId="0" fontId="27" fillId="0" borderId="16" xfId="0" applyFont="1" applyFill="1" applyBorder="1"/>
    <xf numFmtId="0" fontId="27" fillId="0" borderId="24" xfId="0" applyFont="1" applyFill="1" applyBorder="1"/>
    <xf numFmtId="0" fontId="27" fillId="0" borderId="15" xfId="0" applyFont="1" applyFill="1" applyBorder="1"/>
    <xf numFmtId="0" fontId="27" fillId="8" borderId="7" xfId="0" applyFont="1" applyFill="1" applyBorder="1" applyAlignment="1">
      <alignment horizontal="center" vertical="center"/>
    </xf>
    <xf numFmtId="3" fontId="59" fillId="3" borderId="40" xfId="0" applyNumberFormat="1" applyFont="1" applyFill="1" applyBorder="1" applyAlignment="1">
      <alignment horizontal="right"/>
    </xf>
    <xf numFmtId="3" fontId="59" fillId="3" borderId="11" xfId="0" applyNumberFormat="1" applyFont="1" applyFill="1" applyBorder="1" applyAlignment="1">
      <alignment horizontal="right"/>
    </xf>
    <xf numFmtId="3" fontId="59" fillId="3" borderId="12" xfId="0" applyNumberFormat="1" applyFont="1" applyFill="1" applyBorder="1" applyAlignment="1">
      <alignment horizontal="right"/>
    </xf>
    <xf numFmtId="3" fontId="59" fillId="3" borderId="43" xfId="0" applyNumberFormat="1" applyFont="1" applyFill="1" applyBorder="1" applyAlignment="1">
      <alignment horizontal="right"/>
    </xf>
    <xf numFmtId="3" fontId="59" fillId="3" borderId="16" xfId="0" applyNumberFormat="1" applyFont="1" applyFill="1" applyBorder="1" applyAlignment="1">
      <alignment horizontal="right"/>
    </xf>
    <xf numFmtId="3" fontId="59" fillId="3" borderId="17" xfId="0" applyNumberFormat="1" applyFont="1" applyFill="1" applyBorder="1" applyAlignment="1">
      <alignment horizontal="right"/>
    </xf>
    <xf numFmtId="3" fontId="59" fillId="0" borderId="1" xfId="0" applyNumberFormat="1" applyFont="1" applyFill="1" applyBorder="1" applyAlignment="1">
      <alignment horizontal="right"/>
    </xf>
    <xf numFmtId="3" fontId="59" fillId="0" borderId="23" xfId="0" applyNumberFormat="1" applyFont="1" applyFill="1" applyBorder="1" applyAlignment="1">
      <alignment horizontal="right"/>
    </xf>
    <xf numFmtId="3" fontId="59" fillId="0" borderId="25" xfId="0" applyNumberFormat="1" applyFont="1" applyFill="1" applyBorder="1" applyAlignment="1">
      <alignment horizontal="right"/>
    </xf>
    <xf numFmtId="3" fontId="59" fillId="0" borderId="9" xfId="0" applyNumberFormat="1" applyFont="1" applyFill="1" applyBorder="1" applyAlignment="1">
      <alignment horizontal="right"/>
    </xf>
    <xf numFmtId="3" fontId="59" fillId="0" borderId="18" xfId="0" applyNumberFormat="1" applyFont="1" applyFill="1" applyBorder="1" applyAlignment="1">
      <alignment horizontal="right"/>
    </xf>
    <xf numFmtId="3" fontId="59" fillId="0" borderId="20" xfId="0" applyNumberFormat="1" applyFont="1" applyFill="1" applyBorder="1" applyAlignment="1">
      <alignment horizontal="right"/>
    </xf>
    <xf numFmtId="1" fontId="11" fillId="0" borderId="0" xfId="2" applyNumberFormat="1"/>
    <xf numFmtId="0" fontId="58" fillId="0" borderId="7" xfId="0" applyFont="1" applyFill="1" applyBorder="1" applyAlignment="1">
      <alignment horizontal="center"/>
    </xf>
    <xf numFmtId="165" fontId="31" fillId="3" borderId="7" xfId="0" applyNumberFormat="1" applyFont="1" applyFill="1" applyBorder="1" applyAlignment="1">
      <alignment horizontal="right"/>
    </xf>
    <xf numFmtId="0" fontId="1" fillId="0" borderId="0" xfId="2" applyFont="1"/>
    <xf numFmtId="0" fontId="33" fillId="0" borderId="0" xfId="2" applyFont="1"/>
    <xf numFmtId="167" fontId="0" fillId="0" borderId="0" xfId="0" applyNumberFormat="1" applyFill="1"/>
    <xf numFmtId="0" fontId="30" fillId="0" borderId="0" xfId="2" applyFont="1"/>
    <xf numFmtId="0" fontId="60" fillId="0" borderId="0" xfId="0" applyFont="1" applyBorder="1" applyAlignment="1">
      <alignment horizontal="left" wrapText="1"/>
    </xf>
    <xf numFmtId="0" fontId="28" fillId="0" borderId="0" xfId="0" applyFont="1" applyFill="1" applyBorder="1" applyAlignment="1">
      <alignment horizontal="left" wrapText="1"/>
    </xf>
    <xf numFmtId="0" fontId="58" fillId="0" borderId="60" xfId="0" applyFont="1" applyFill="1" applyBorder="1" applyAlignment="1">
      <alignment horizontal="center"/>
    </xf>
    <xf numFmtId="0" fontId="58" fillId="0" borderId="36" xfId="0" applyFont="1" applyFill="1" applyBorder="1" applyAlignment="1">
      <alignment horizontal="center"/>
    </xf>
    <xf numFmtId="3" fontId="31" fillId="3" borderId="11" xfId="0" applyNumberFormat="1" applyFont="1" applyFill="1" applyBorder="1" applyAlignment="1"/>
    <xf numFmtId="3" fontId="31" fillId="0" borderId="16" xfId="0" applyNumberFormat="1" applyFont="1" applyFill="1" applyBorder="1" applyAlignment="1"/>
    <xf numFmtId="3" fontId="31" fillId="0" borderId="11" xfId="0" applyNumberFormat="1" applyFont="1" applyFill="1" applyBorder="1" applyAlignment="1"/>
    <xf numFmtId="3" fontId="28" fillId="3" borderId="26" xfId="0" applyNumberFormat="1" applyFont="1" applyFill="1" applyBorder="1" applyAlignment="1"/>
    <xf numFmtId="9" fontId="60" fillId="0" borderId="0" xfId="0" applyNumberFormat="1" applyFont="1" applyBorder="1" applyAlignment="1">
      <alignment horizontal="left" wrapText="1"/>
    </xf>
    <xf numFmtId="0" fontId="30" fillId="0" borderId="0" xfId="2" applyFont="1" applyAlignment="1">
      <alignment horizontal="left"/>
    </xf>
    <xf numFmtId="0" fontId="28" fillId="0" borderId="57" xfId="0" applyFont="1" applyFill="1" applyBorder="1" applyAlignment="1">
      <alignment horizontal="left"/>
    </xf>
    <xf numFmtId="0" fontId="28" fillId="0" borderId="34" xfId="0" applyFont="1" applyFill="1" applyBorder="1" applyAlignment="1"/>
    <xf numFmtId="3" fontId="58" fillId="0" borderId="26" xfId="0" applyNumberFormat="1" applyFont="1" applyFill="1" applyBorder="1" applyAlignment="1">
      <alignment horizontal="center"/>
    </xf>
    <xf numFmtId="3" fontId="58" fillId="0" borderId="27" xfId="0" applyNumberFormat="1" applyFont="1" applyFill="1" applyBorder="1" applyAlignment="1">
      <alignment horizontal="center"/>
    </xf>
    <xf numFmtId="3" fontId="31" fillId="3" borderId="49" xfId="0" applyNumberFormat="1" applyFont="1" applyFill="1" applyBorder="1" applyAlignment="1"/>
    <xf numFmtId="3" fontId="31" fillId="0" borderId="47" xfId="0" applyNumberFormat="1" applyFont="1" applyFill="1" applyBorder="1" applyAlignment="1"/>
    <xf numFmtId="3" fontId="31" fillId="3" borderId="45" xfId="0" applyNumberFormat="1" applyFont="1" applyFill="1" applyBorder="1" applyAlignment="1"/>
    <xf numFmtId="3" fontId="31" fillId="3" borderId="26" xfId="0" applyNumberFormat="1" applyFont="1" applyFill="1" applyBorder="1" applyAlignment="1">
      <alignment horizontal="right"/>
    </xf>
    <xf numFmtId="3" fontId="31" fillId="3" borderId="27" xfId="0" applyNumberFormat="1" applyFont="1" applyFill="1" applyBorder="1" applyAlignment="1">
      <alignment horizontal="right"/>
    </xf>
    <xf numFmtId="0" fontId="58" fillId="0" borderId="0" xfId="0" applyFont="1"/>
    <xf numFmtId="0" fontId="27" fillId="0" borderId="0" xfId="0" applyFont="1"/>
    <xf numFmtId="0" fontId="57" fillId="8" borderId="0" xfId="0" applyFont="1" applyFill="1" applyAlignment="1">
      <alignment horizontal="center"/>
    </xf>
    <xf numFmtId="0" fontId="57" fillId="0" borderId="0" xfId="0" applyFont="1" applyFill="1" applyAlignment="1">
      <alignment horizontal="center"/>
    </xf>
    <xf numFmtId="0" fontId="27" fillId="0" borderId="0" xfId="0" applyFont="1" applyFill="1" applyBorder="1" applyAlignment="1">
      <alignment horizontal="center"/>
    </xf>
    <xf numFmtId="0" fontId="27" fillId="0" borderId="0" xfId="0" applyFont="1" applyFill="1"/>
    <xf numFmtId="0" fontId="61" fillId="0" borderId="0" xfId="0" applyFont="1"/>
    <xf numFmtId="0" fontId="27" fillId="0" borderId="7" xfId="0" applyFont="1" applyFill="1" applyBorder="1" applyAlignment="1">
      <alignment horizontal="center" vertical="center"/>
    </xf>
    <xf numFmtId="0" fontId="27" fillId="0" borderId="3" xfId="0" applyFont="1" applyFill="1" applyBorder="1" applyAlignment="1">
      <alignment horizontal="center" vertical="center"/>
    </xf>
    <xf numFmtId="0" fontId="62" fillId="0" borderId="0" xfId="0" applyFont="1" applyFill="1"/>
    <xf numFmtId="0" fontId="27" fillId="8" borderId="7" xfId="0" applyFont="1" applyFill="1" applyBorder="1"/>
    <xf numFmtId="0" fontId="27" fillId="0" borderId="7" xfId="0" applyFont="1" applyFill="1" applyBorder="1" applyAlignment="1">
      <alignment horizontal="center"/>
    </xf>
    <xf numFmtId="3" fontId="27" fillId="0" borderId="7" xfId="1" applyNumberFormat="1" applyFont="1" applyFill="1" applyBorder="1" applyAlignment="1" applyProtection="1"/>
    <xf numFmtId="3" fontId="27" fillId="0" borderId="3" xfId="1" applyNumberFormat="1" applyFont="1" applyFill="1" applyBorder="1" applyAlignment="1" applyProtection="1"/>
    <xf numFmtId="171" fontId="27" fillId="0" borderId="0" xfId="0" applyNumberFormat="1" applyFont="1" applyFill="1"/>
    <xf numFmtId="0" fontId="57" fillId="0" borderId="0" xfId="0" applyFont="1"/>
    <xf numFmtId="3" fontId="57" fillId="0" borderId="0" xfId="0" applyNumberFormat="1" applyFont="1" applyFill="1"/>
    <xf numFmtId="6" fontId="27" fillId="0" borderId="7" xfId="0" applyNumberFormat="1" applyFont="1" applyFill="1" applyBorder="1" applyAlignment="1">
      <alignment horizontal="center"/>
    </xf>
    <xf numFmtId="166" fontId="27" fillId="0" borderId="7" xfId="0" applyNumberFormat="1" applyFont="1" applyFill="1" applyBorder="1" applyAlignment="1">
      <alignment horizontal="center"/>
    </xf>
    <xf numFmtId="4" fontId="27" fillId="8" borderId="3" xfId="0" applyNumberFormat="1" applyFont="1" applyFill="1" applyBorder="1" applyAlignment="1">
      <alignment horizontal="center"/>
    </xf>
    <xf numFmtId="4" fontId="27" fillId="8" borderId="7" xfId="0" applyNumberFormat="1" applyFont="1" applyFill="1" applyBorder="1" applyAlignment="1">
      <alignment horizontal="center"/>
    </xf>
    <xf numFmtId="166" fontId="27" fillId="8" borderId="7" xfId="0" applyNumberFormat="1" applyFont="1" applyFill="1" applyBorder="1" applyAlignment="1">
      <alignment horizontal="center"/>
    </xf>
    <xf numFmtId="3" fontId="27" fillId="8" borderId="4" xfId="1" applyNumberFormat="1" applyFont="1" applyFill="1" applyBorder="1" applyAlignment="1" applyProtection="1"/>
    <xf numFmtId="3" fontId="27" fillId="8" borderId="7" xfId="1" applyNumberFormat="1" applyFont="1" applyFill="1" applyBorder="1" applyAlignment="1" applyProtection="1"/>
    <xf numFmtId="4" fontId="27" fillId="8" borderId="7" xfId="0" applyNumberFormat="1" applyFont="1" applyFill="1" applyBorder="1"/>
    <xf numFmtId="4" fontId="27" fillId="0" borderId="7" xfId="0" applyNumberFormat="1" applyFont="1" applyFill="1" applyBorder="1"/>
    <xf numFmtId="4" fontId="27" fillId="0" borderId="3" xfId="0" applyNumberFormat="1" applyFont="1" applyFill="1" applyBorder="1"/>
    <xf numFmtId="3" fontId="27" fillId="0" borderId="0" xfId="0" applyNumberFormat="1" applyFont="1" applyFill="1"/>
    <xf numFmtId="2" fontId="27" fillId="0" borderId="7" xfId="1" applyNumberFormat="1" applyFont="1" applyFill="1" applyBorder="1" applyAlignment="1" applyProtection="1">
      <alignment horizontal="right"/>
    </xf>
    <xf numFmtId="2" fontId="27" fillId="0" borderId="3" xfId="1" applyNumberFormat="1" applyFont="1" applyFill="1" applyBorder="1" applyAlignment="1" applyProtection="1">
      <alignment horizontal="right"/>
    </xf>
    <xf numFmtId="10" fontId="27" fillId="0" borderId="0" xfId="0" applyNumberFormat="1" applyFont="1" applyFill="1"/>
    <xf numFmtId="0" fontId="27" fillId="0" borderId="0" xfId="0" applyFont="1" applyFill="1" applyBorder="1" applyAlignment="1">
      <alignment horizontal="left" wrapText="1"/>
    </xf>
    <xf numFmtId="9" fontId="27" fillId="0" borderId="0" xfId="0" applyNumberFormat="1" applyFont="1" applyFill="1"/>
    <xf numFmtId="168" fontId="27" fillId="0" borderId="0" xfId="0" applyNumberFormat="1" applyFont="1" applyFill="1"/>
    <xf numFmtId="0" fontId="57" fillId="8" borderId="7" xfId="0" applyFont="1" applyFill="1" applyBorder="1" applyAlignment="1">
      <alignment horizontal="center"/>
    </xf>
    <xf numFmtId="0" fontId="27" fillId="0" borderId="0" xfId="0" applyFont="1" applyFill="1" applyAlignment="1"/>
    <xf numFmtId="3" fontId="27" fillId="0" borderId="7" xfId="1" applyNumberFormat="1" applyFont="1" applyFill="1" applyBorder="1" applyAlignment="1" applyProtection="1">
      <alignment horizontal="center"/>
    </xf>
    <xf numFmtId="11" fontId="27" fillId="0" borderId="7" xfId="1" applyNumberFormat="1" applyFont="1" applyFill="1" applyBorder="1" applyAlignment="1" applyProtection="1">
      <alignment horizontal="center"/>
    </xf>
    <xf numFmtId="3" fontId="27" fillId="0" borderId="7" xfId="1" applyNumberFormat="1" applyFont="1" applyFill="1" applyBorder="1" applyAlignment="1" applyProtection="1">
      <alignment horizontal="right"/>
    </xf>
    <xf numFmtId="3" fontId="27" fillId="8" borderId="7" xfId="1" applyNumberFormat="1" applyFont="1" applyFill="1" applyBorder="1" applyAlignment="1" applyProtection="1">
      <alignment horizontal="center"/>
    </xf>
    <xf numFmtId="2" fontId="27" fillId="0" borderId="7" xfId="1" applyNumberFormat="1" applyFont="1" applyFill="1" applyBorder="1" applyAlignment="1" applyProtection="1">
      <alignment horizontal="center"/>
    </xf>
    <xf numFmtId="172" fontId="27" fillId="0" borderId="7" xfId="1" applyNumberFormat="1" applyFont="1" applyFill="1" applyBorder="1" applyAlignment="1" applyProtection="1">
      <alignment horizontal="right"/>
    </xf>
    <xf numFmtId="172" fontId="27" fillId="8" borderId="7" xfId="1" applyNumberFormat="1" applyFont="1" applyFill="1" applyBorder="1" applyAlignment="1" applyProtection="1">
      <alignment horizontal="right"/>
    </xf>
    <xf numFmtId="49" fontId="27" fillId="0" borderId="0" xfId="0" applyNumberFormat="1" applyFont="1"/>
    <xf numFmtId="0" fontId="63" fillId="0" borderId="0" xfId="0" applyFont="1" applyFill="1" applyBorder="1" applyAlignment="1">
      <alignment horizontal="left" wrapText="1"/>
    </xf>
    <xf numFmtId="0" fontId="58" fillId="0" borderId="26" xfId="0" applyFont="1" applyFill="1" applyBorder="1" applyAlignment="1">
      <alignment horizontal="center"/>
    </xf>
    <xf numFmtId="0" fontId="58" fillId="0" borderId="27" xfId="0" applyFont="1" applyFill="1" applyBorder="1" applyAlignment="1">
      <alignment horizontal="center"/>
    </xf>
    <xf numFmtId="0" fontId="58" fillId="0" borderId="44" xfId="0" applyFont="1" applyFill="1" applyBorder="1" applyAlignment="1">
      <alignment horizontal="center"/>
    </xf>
    <xf numFmtId="0" fontId="58" fillId="0" borderId="91" xfId="0" applyFont="1" applyFill="1" applyBorder="1" applyAlignment="1">
      <alignment horizontal="center"/>
    </xf>
    <xf numFmtId="0" fontId="58" fillId="0" borderId="68" xfId="0" applyFont="1" applyFill="1" applyBorder="1" applyAlignment="1">
      <alignment horizontal="center"/>
    </xf>
    <xf numFmtId="3" fontId="27" fillId="3" borderId="40" xfId="0" applyNumberFormat="1" applyFont="1" applyFill="1" applyBorder="1" applyAlignment="1">
      <alignment horizontal="right"/>
    </xf>
    <xf numFmtId="3" fontId="27" fillId="0" borderId="1" xfId="0" applyNumberFormat="1" applyFont="1" applyFill="1" applyBorder="1" applyAlignment="1">
      <alignment horizontal="right"/>
    </xf>
    <xf numFmtId="3" fontId="27" fillId="0" borderId="43" xfId="0" applyNumberFormat="1" applyFont="1" applyFill="1" applyBorder="1" applyAlignment="1">
      <alignment horizontal="right"/>
    </xf>
    <xf numFmtId="3" fontId="27" fillId="0" borderId="54" xfId="0" applyNumberFormat="1" applyFont="1" applyFill="1" applyBorder="1" applyAlignment="1">
      <alignment horizontal="right"/>
    </xf>
    <xf numFmtId="3" fontId="27" fillId="0" borderId="98" xfId="0" applyNumberFormat="1" applyFont="1" applyFill="1" applyBorder="1" applyAlignment="1">
      <alignment horizontal="right"/>
    </xf>
    <xf numFmtId="3" fontId="27" fillId="0" borderId="50" xfId="0" applyNumberFormat="1" applyFont="1" applyFill="1" applyBorder="1" applyAlignment="1">
      <alignment horizontal="right"/>
    </xf>
    <xf numFmtId="3" fontId="27" fillId="0" borderId="0" xfId="0" applyNumberFormat="1" applyFont="1" applyFill="1" applyBorder="1" applyAlignment="1">
      <alignment horizontal="left"/>
    </xf>
    <xf numFmtId="3" fontId="27" fillId="0" borderId="0" xfId="0" applyNumberFormat="1" applyFont="1" applyFill="1" applyBorder="1" applyAlignment="1">
      <alignment horizontal="right"/>
    </xf>
    <xf numFmtId="0" fontId="50" fillId="0" borderId="0" xfId="0" applyFont="1" applyAlignment="1">
      <alignment horizontal="right"/>
    </xf>
    <xf numFmtId="0" fontId="57" fillId="0" borderId="35" xfId="0" applyFont="1" applyBorder="1" applyAlignment="1">
      <alignment horizontal="center"/>
    </xf>
    <xf numFmtId="0" fontId="62" fillId="0" borderId="0" xfId="0" applyFont="1"/>
    <xf numFmtId="3" fontId="62" fillId="0" borderId="15" xfId="0" applyNumberFormat="1" applyFont="1" applyFill="1" applyBorder="1" applyAlignment="1">
      <alignment horizontal="right"/>
    </xf>
    <xf numFmtId="3" fontId="62" fillId="0" borderId="16" xfId="0" applyNumberFormat="1" applyFont="1" applyFill="1" applyBorder="1" applyAlignment="1">
      <alignment horizontal="right"/>
    </xf>
    <xf numFmtId="3" fontId="62" fillId="0" borderId="17" xfId="0" applyNumberFormat="1" applyFont="1" applyFill="1" applyBorder="1" applyAlignment="1">
      <alignment horizontal="right"/>
    </xf>
    <xf numFmtId="3" fontId="62" fillId="0" borderId="54" xfId="0" applyNumberFormat="1" applyFont="1" applyFill="1" applyBorder="1" applyAlignment="1">
      <alignment horizontal="right"/>
    </xf>
    <xf numFmtId="3" fontId="62" fillId="0" borderId="50" xfId="0" applyNumberFormat="1" applyFont="1" applyFill="1" applyBorder="1" applyAlignment="1">
      <alignment horizontal="right"/>
    </xf>
    <xf numFmtId="3" fontId="62" fillId="0" borderId="0" xfId="0" applyNumberFormat="1" applyFont="1"/>
    <xf numFmtId="3" fontId="27" fillId="0" borderId="0" xfId="0" applyNumberFormat="1" applyFont="1"/>
    <xf numFmtId="0" fontId="28" fillId="0" borderId="34" xfId="0" applyFont="1" applyBorder="1" applyAlignment="1">
      <alignment horizontal="right"/>
    </xf>
    <xf numFmtId="0" fontId="27" fillId="3" borderId="29" xfId="0" applyFont="1" applyFill="1" applyBorder="1" applyAlignment="1">
      <alignment horizontal="left"/>
    </xf>
    <xf numFmtId="0" fontId="27" fillId="3" borderId="30" xfId="0" applyFont="1" applyFill="1" applyBorder="1" applyAlignment="1">
      <alignment horizontal="left"/>
    </xf>
    <xf numFmtId="0" fontId="27" fillId="0" borderId="30" xfId="0" applyFont="1" applyBorder="1" applyAlignment="1">
      <alignment horizontal="left"/>
    </xf>
    <xf numFmtId="0" fontId="27" fillId="0" borderId="32" xfId="0" applyFont="1" applyBorder="1" applyAlignment="1">
      <alignment horizontal="left"/>
    </xf>
    <xf numFmtId="0" fontId="27" fillId="0" borderId="0" xfId="0" applyFont="1" applyFill="1" applyBorder="1" applyAlignment="1">
      <alignment horizontal="left"/>
    </xf>
    <xf numFmtId="0" fontId="27" fillId="0" borderId="0" xfId="0" applyFont="1" applyAlignment="1">
      <alignment horizontal="left"/>
    </xf>
    <xf numFmtId="3" fontId="27" fillId="0" borderId="11" xfId="0" applyNumberFormat="1" applyFont="1" applyBorder="1"/>
    <xf numFmtId="3" fontId="27" fillId="0" borderId="12" xfId="0" applyNumberFormat="1" applyFont="1" applyFill="1" applyBorder="1"/>
    <xf numFmtId="3" fontId="27" fillId="0" borderId="7" xfId="0" applyNumberFormat="1" applyFont="1" applyBorder="1"/>
    <xf numFmtId="3" fontId="27" fillId="0" borderId="14" xfId="0" applyNumberFormat="1" applyFont="1" applyFill="1" applyBorder="1"/>
    <xf numFmtId="3" fontId="27" fillId="0" borderId="16" xfId="0" applyNumberFormat="1" applyFont="1" applyBorder="1"/>
    <xf numFmtId="3" fontId="27" fillId="8" borderId="23" xfId="0" applyNumberFormat="1" applyFont="1" applyFill="1" applyBorder="1"/>
    <xf numFmtId="3" fontId="27" fillId="8" borderId="25" xfId="0" applyNumberFormat="1" applyFont="1" applyFill="1" applyBorder="1"/>
    <xf numFmtId="3" fontId="27" fillId="8" borderId="7" xfId="0" applyNumberFormat="1" applyFont="1" applyFill="1" applyBorder="1"/>
    <xf numFmtId="0" fontId="27" fillId="0" borderId="0" xfId="0" applyFont="1" applyFill="1" applyAlignment="1">
      <alignment vertical="center"/>
    </xf>
    <xf numFmtId="3" fontId="27" fillId="8" borderId="18" xfId="0" applyNumberFormat="1" applyFont="1" applyFill="1" applyBorder="1"/>
    <xf numFmtId="3" fontId="27" fillId="8" borderId="11" xfId="0" applyNumberFormat="1" applyFont="1" applyFill="1" applyBorder="1"/>
    <xf numFmtId="3" fontId="27" fillId="8" borderId="12" xfId="0" applyNumberFormat="1" applyFont="1" applyFill="1" applyBorder="1"/>
    <xf numFmtId="3" fontId="27" fillId="8" borderId="17" xfId="0" applyNumberFormat="1" applyFont="1" applyFill="1" applyBorder="1"/>
    <xf numFmtId="0" fontId="57" fillId="0" borderId="28" xfId="0" applyFont="1" applyFill="1" applyBorder="1" applyAlignment="1">
      <alignment horizontal="center"/>
    </xf>
    <xf numFmtId="0" fontId="57" fillId="0" borderId="26" xfId="0" applyFont="1" applyFill="1" applyBorder="1" applyAlignment="1">
      <alignment horizontal="center"/>
    </xf>
    <xf numFmtId="3" fontId="27" fillId="0" borderId="11" xfId="0" applyNumberFormat="1" applyFont="1" applyFill="1" applyBorder="1"/>
    <xf numFmtId="3" fontId="27" fillId="0" borderId="40" xfId="0" applyNumberFormat="1" applyFont="1" applyFill="1" applyBorder="1"/>
    <xf numFmtId="3" fontId="27" fillId="0" borderId="18" xfId="0" applyNumberFormat="1" applyFont="1" applyFill="1" applyBorder="1"/>
    <xf numFmtId="3" fontId="27" fillId="0" borderId="20" xfId="0" applyNumberFormat="1" applyFont="1" applyFill="1" applyBorder="1"/>
    <xf numFmtId="3" fontId="27" fillId="0" borderId="9" xfId="0" applyNumberFormat="1" applyFont="1" applyFill="1" applyBorder="1"/>
    <xf numFmtId="3" fontId="27" fillId="8" borderId="40" xfId="0" applyNumberFormat="1" applyFont="1" applyFill="1" applyBorder="1"/>
    <xf numFmtId="3" fontId="27" fillId="8" borderId="43" xfId="0" applyNumberFormat="1" applyFont="1" applyFill="1" applyBorder="1"/>
    <xf numFmtId="0" fontId="27" fillId="0" borderId="0" xfId="0" applyFont="1" applyFill="1" applyBorder="1"/>
    <xf numFmtId="3" fontId="27" fillId="0" borderId="0" xfId="0" applyNumberFormat="1" applyFont="1" applyFill="1" applyBorder="1"/>
    <xf numFmtId="0" fontId="57" fillId="8" borderId="0" xfId="0" applyFont="1" applyFill="1" applyBorder="1"/>
    <xf numFmtId="3" fontId="27" fillId="0" borderId="7" xfId="0" applyNumberFormat="1" applyFont="1" applyFill="1" applyBorder="1"/>
    <xf numFmtId="3" fontId="27" fillId="0" borderId="16" xfId="0" applyNumberFormat="1" applyFont="1" applyFill="1" applyBorder="1"/>
    <xf numFmtId="3" fontId="27" fillId="0" borderId="23" xfId="0" applyNumberFormat="1" applyFont="1" applyFill="1" applyBorder="1"/>
    <xf numFmtId="3" fontId="27" fillId="0" borderId="25" xfId="0" applyNumberFormat="1" applyFont="1" applyFill="1" applyBorder="1"/>
    <xf numFmtId="0" fontId="58" fillId="8" borderId="28" xfId="0" applyFont="1" applyFill="1" applyBorder="1" applyAlignment="1">
      <alignment horizontal="center"/>
    </xf>
    <xf numFmtId="0" fontId="58" fillId="8" borderId="0" xfId="0" applyFont="1" applyFill="1" applyAlignment="1">
      <alignment horizontal="center"/>
    </xf>
    <xf numFmtId="0" fontId="31" fillId="0" borderId="0" xfId="0" applyFont="1"/>
    <xf numFmtId="0" fontId="31" fillId="0" borderId="0" xfId="0" applyFont="1" applyFill="1"/>
    <xf numFmtId="0" fontId="31" fillId="8" borderId="7" xfId="0" applyFont="1" applyFill="1" applyBorder="1" applyAlignment="1">
      <alignment horizontal="center" vertical="center"/>
    </xf>
    <xf numFmtId="0" fontId="31" fillId="0" borderId="7" xfId="0" applyFont="1" applyBorder="1" applyAlignment="1">
      <alignment horizontal="center" vertical="center"/>
    </xf>
    <xf numFmtId="0" fontId="31" fillId="0" borderId="7"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7" xfId="0" applyFont="1" applyBorder="1"/>
    <xf numFmtId="0" fontId="64" fillId="0" borderId="0" xfId="0" applyFont="1" applyFill="1"/>
    <xf numFmtId="0" fontId="31" fillId="8" borderId="7" xfId="0" applyFont="1" applyFill="1" applyBorder="1"/>
    <xf numFmtId="0" fontId="31" fillId="0" borderId="7" xfId="0" applyFont="1" applyFill="1" applyBorder="1" applyAlignment="1">
      <alignment horizontal="center"/>
    </xf>
    <xf numFmtId="3" fontId="31" fillId="0" borderId="7" xfId="1" applyNumberFormat="1" applyFont="1" applyFill="1" applyBorder="1" applyAlignment="1"/>
    <xf numFmtId="3" fontId="31" fillId="0" borderId="7" xfId="1" applyNumberFormat="1" applyFont="1" applyFill="1" applyBorder="1" applyAlignment="1" applyProtection="1"/>
    <xf numFmtId="3" fontId="31" fillId="0" borderId="3" xfId="1" applyNumberFormat="1" applyFont="1" applyFill="1" applyBorder="1" applyAlignment="1" applyProtection="1"/>
    <xf numFmtId="6" fontId="31" fillId="0" borderId="7" xfId="0" applyNumberFormat="1" applyFont="1" applyFill="1" applyBorder="1" applyAlignment="1">
      <alignment horizontal="center"/>
    </xf>
    <xf numFmtId="3" fontId="31" fillId="0" borderId="3" xfId="1" applyNumberFormat="1" applyFont="1" applyFill="1" applyBorder="1" applyAlignment="1">
      <alignment horizontal="center"/>
    </xf>
    <xf numFmtId="3" fontId="31" fillId="0" borderId="7" xfId="1" applyNumberFormat="1" applyFont="1" applyFill="1" applyBorder="1" applyAlignment="1">
      <alignment horizontal="center"/>
    </xf>
    <xf numFmtId="0" fontId="58" fillId="0" borderId="0" xfId="0" applyFont="1" applyFill="1"/>
    <xf numFmtId="3" fontId="58" fillId="0" borderId="0" xfId="0" applyNumberFormat="1" applyFont="1" applyFill="1"/>
    <xf numFmtId="3" fontId="31" fillId="0" borderId="4" xfId="1" applyNumberFormat="1" applyFont="1" applyFill="1" applyBorder="1" applyAlignment="1" applyProtection="1"/>
    <xf numFmtId="3" fontId="31" fillId="0" borderId="0" xfId="0" applyNumberFormat="1" applyFont="1" applyFill="1"/>
    <xf numFmtId="3" fontId="31" fillId="0" borderId="7" xfId="0" applyNumberFormat="1" applyFont="1" applyFill="1" applyBorder="1"/>
    <xf numFmtId="3" fontId="31" fillId="0" borderId="3" xfId="0" applyNumberFormat="1" applyFont="1" applyFill="1" applyBorder="1"/>
    <xf numFmtId="4" fontId="31" fillId="0" borderId="7" xfId="0" applyNumberFormat="1" applyFont="1" applyFill="1" applyBorder="1"/>
    <xf numFmtId="2" fontId="31" fillId="0" borderId="7" xfId="1" applyNumberFormat="1" applyFont="1" applyFill="1" applyBorder="1" applyAlignment="1">
      <alignment horizontal="right"/>
    </xf>
    <xf numFmtId="2" fontId="31" fillId="0" borderId="3" xfId="1" applyNumberFormat="1" applyFont="1" applyFill="1" applyBorder="1" applyAlignment="1">
      <alignment horizontal="right"/>
    </xf>
    <xf numFmtId="0" fontId="31" fillId="0" borderId="7" xfId="0" applyFont="1" applyFill="1" applyBorder="1"/>
    <xf numFmtId="0" fontId="31" fillId="0" borderId="0" xfId="0" applyFont="1" applyAlignment="1">
      <alignment horizontal="center"/>
    </xf>
    <xf numFmtId="0" fontId="31" fillId="0" borderId="0" xfId="0" quotePrefix="1" applyFont="1"/>
    <xf numFmtId="9" fontId="31" fillId="0" borderId="0" xfId="0" applyNumberFormat="1" applyFont="1" applyFill="1"/>
    <xf numFmtId="168" fontId="31" fillId="0" borderId="0" xfId="0" applyNumberFormat="1" applyFont="1" applyFill="1"/>
    <xf numFmtId="0" fontId="31" fillId="0" borderId="7" xfId="0" applyFont="1" applyFill="1" applyBorder="1" applyAlignment="1">
      <alignment horizontal="center" vertical="center" wrapText="1"/>
    </xf>
    <xf numFmtId="3" fontId="31" fillId="0" borderId="2" xfId="1" applyNumberFormat="1" applyFont="1" applyFill="1" applyBorder="1" applyAlignment="1" applyProtection="1"/>
    <xf numFmtId="4" fontId="31" fillId="0" borderId="7" xfId="1" applyNumberFormat="1" applyFont="1" applyFill="1" applyBorder="1" applyAlignment="1">
      <alignment horizontal="center"/>
    </xf>
    <xf numFmtId="0" fontId="57" fillId="0" borderId="44" xfId="0" applyFont="1" applyFill="1" applyBorder="1" applyAlignment="1">
      <alignment horizontal="center"/>
    </xf>
    <xf numFmtId="0" fontId="57" fillId="0" borderId="91" xfId="0" applyFont="1" applyFill="1" applyBorder="1" applyAlignment="1">
      <alignment horizontal="center"/>
    </xf>
    <xf numFmtId="3" fontId="27" fillId="3" borderId="97" xfId="0" applyNumberFormat="1" applyFont="1" applyFill="1" applyBorder="1" applyAlignment="1">
      <alignment horizontal="right"/>
    </xf>
    <xf numFmtId="3" fontId="27" fillId="0" borderId="25" xfId="0" applyNumberFormat="1" applyFont="1" applyFill="1" applyBorder="1" applyAlignment="1">
      <alignment horizontal="right"/>
    </xf>
    <xf numFmtId="3" fontId="27" fillId="0" borderId="17" xfId="0" applyNumberFormat="1" applyFont="1" applyFill="1" applyBorder="1" applyAlignment="1">
      <alignment horizontal="right"/>
    </xf>
    <xf numFmtId="0" fontId="27" fillId="0" borderId="0" xfId="0" applyNumberFormat="1" applyFont="1"/>
    <xf numFmtId="0" fontId="66" fillId="0" borderId="0" xfId="0" applyFont="1" applyAlignment="1">
      <alignment horizontal="center"/>
    </xf>
    <xf numFmtId="0" fontId="62" fillId="0" borderId="34" xfId="0" applyFont="1" applyBorder="1" applyAlignment="1">
      <alignment horizontal="right"/>
    </xf>
    <xf numFmtId="0" fontId="27" fillId="0" borderId="31" xfId="0" applyFont="1" applyBorder="1" applyAlignment="1">
      <alignment horizontal="left"/>
    </xf>
    <xf numFmtId="0" fontId="27" fillId="3" borderId="33" xfId="0" applyFont="1" applyFill="1" applyBorder="1" applyAlignment="1">
      <alignment horizontal="left"/>
    </xf>
    <xf numFmtId="0" fontId="62" fillId="0" borderId="32" xfId="0" applyFont="1" applyBorder="1" applyAlignment="1">
      <alignment horizontal="left"/>
    </xf>
    <xf numFmtId="0" fontId="62" fillId="0" borderId="16" xfId="0" applyFont="1" applyBorder="1" applyAlignment="1">
      <alignment horizontal="center"/>
    </xf>
    <xf numFmtId="0" fontId="62" fillId="0" borderId="17" xfId="0" applyFont="1" applyBorder="1" applyAlignment="1">
      <alignment horizontal="center"/>
    </xf>
    <xf numFmtId="3" fontId="62" fillId="0" borderId="15" xfId="0" applyNumberFormat="1" applyFont="1" applyBorder="1" applyAlignment="1">
      <alignment horizontal="right"/>
    </xf>
    <xf numFmtId="3" fontId="62" fillId="0" borderId="16" xfId="0" applyNumberFormat="1" applyFont="1" applyBorder="1" applyAlignment="1">
      <alignment horizontal="right"/>
    </xf>
    <xf numFmtId="3" fontId="62" fillId="0" borderId="17" xfId="0" applyNumberFormat="1" applyFont="1" applyBorder="1" applyAlignment="1">
      <alignment horizontal="right"/>
    </xf>
    <xf numFmtId="3" fontId="62" fillId="0" borderId="54" xfId="0" applyNumberFormat="1" applyFont="1" applyBorder="1" applyAlignment="1">
      <alignment horizontal="right"/>
    </xf>
    <xf numFmtId="3" fontId="62" fillId="0" borderId="50" xfId="0" applyNumberFormat="1" applyFont="1" applyBorder="1" applyAlignment="1">
      <alignment horizontal="right"/>
    </xf>
    <xf numFmtId="0" fontId="62" fillId="0" borderId="0" xfId="0" applyFont="1" applyBorder="1" applyAlignment="1">
      <alignment horizontal="left"/>
    </xf>
    <xf numFmtId="0" fontId="27" fillId="0" borderId="0" xfId="0" applyFont="1" applyBorder="1" applyAlignment="1">
      <alignment horizontal="center"/>
    </xf>
    <xf numFmtId="3" fontId="27" fillId="0" borderId="0" xfId="0" applyNumberFormat="1" applyFont="1" applyBorder="1" applyAlignment="1">
      <alignment horizontal="right"/>
    </xf>
    <xf numFmtId="0" fontId="57" fillId="0" borderId="27" xfId="0" applyFont="1" applyBorder="1" applyAlignment="1">
      <alignment horizontal="center" vertical="center"/>
    </xf>
    <xf numFmtId="0" fontId="57" fillId="0" borderId="35" xfId="0" applyFont="1" applyBorder="1" applyAlignment="1">
      <alignment horizontal="center" vertical="center"/>
    </xf>
    <xf numFmtId="0" fontId="27" fillId="0" borderId="6" xfId="0" applyFont="1" applyFill="1" applyBorder="1" applyAlignment="1">
      <alignment horizontal="center" vertical="center"/>
    </xf>
    <xf numFmtId="3" fontId="27" fillId="3" borderId="24" xfId="0" applyNumberFormat="1" applyFont="1" applyFill="1" applyBorder="1"/>
    <xf numFmtId="3" fontId="27" fillId="3" borderId="23" xfId="0" applyNumberFormat="1" applyFont="1" applyFill="1" applyBorder="1"/>
    <xf numFmtId="3" fontId="27" fillId="3" borderId="25" xfId="0" applyNumberFormat="1" applyFont="1" applyFill="1" applyBorder="1"/>
    <xf numFmtId="3" fontId="27" fillId="0" borderId="1" xfId="0" applyNumberFormat="1" applyFont="1" applyFill="1" applyBorder="1"/>
    <xf numFmtId="3" fontId="27" fillId="0" borderId="23" xfId="0" applyNumberFormat="1" applyFont="1" applyFill="1" applyBorder="1" applyAlignment="1">
      <alignment horizontal="center"/>
    </xf>
    <xf numFmtId="0" fontId="27" fillId="0" borderId="3" xfId="0" applyFont="1" applyBorder="1" applyAlignment="1">
      <alignment horizontal="center" vertical="center"/>
    </xf>
    <xf numFmtId="3" fontId="27" fillId="3" borderId="13" xfId="0" applyNumberFormat="1" applyFont="1" applyFill="1" applyBorder="1"/>
    <xf numFmtId="3" fontId="27" fillId="3" borderId="7" xfId="0" applyNumberFormat="1" applyFont="1" applyFill="1" applyBorder="1"/>
    <xf numFmtId="3" fontId="27" fillId="3" borderId="14" xfId="0" applyNumberFormat="1" applyFont="1" applyFill="1" applyBorder="1"/>
    <xf numFmtId="3" fontId="27" fillId="0" borderId="5" xfId="0" applyNumberFormat="1" applyFont="1" applyFill="1" applyBorder="1"/>
    <xf numFmtId="0" fontId="27" fillId="0" borderId="22" xfId="0" applyFont="1" applyBorder="1" applyAlignment="1">
      <alignment horizontal="center" vertical="center"/>
    </xf>
    <xf numFmtId="3" fontId="27" fillId="3" borderId="15" xfId="0" applyNumberFormat="1" applyFont="1" applyFill="1" applyBorder="1"/>
    <xf numFmtId="3" fontId="27" fillId="3" borderId="16" xfId="0" applyNumberFormat="1" applyFont="1" applyFill="1" applyBorder="1"/>
    <xf numFmtId="3" fontId="27" fillId="3" borderId="17" xfId="0" applyNumberFormat="1" applyFont="1" applyFill="1" applyBorder="1"/>
    <xf numFmtId="3" fontId="27" fillId="0" borderId="43" xfId="0" applyNumberFormat="1" applyFont="1" applyFill="1" applyBorder="1"/>
    <xf numFmtId="0" fontId="67" fillId="0" borderId="0" xfId="0" applyFont="1" applyFill="1"/>
    <xf numFmtId="0" fontId="27" fillId="0" borderId="0" xfId="0" applyFont="1" applyFill="1" applyAlignment="1">
      <alignment horizontal="center"/>
    </xf>
    <xf numFmtId="0" fontId="57" fillId="0" borderId="0" xfId="0" applyFont="1" applyFill="1"/>
    <xf numFmtId="0" fontId="57" fillId="0" borderId="27" xfId="0" applyFont="1" applyFill="1" applyBorder="1" applyAlignment="1">
      <alignment horizontal="center" vertical="center"/>
    </xf>
    <xf numFmtId="0" fontId="57" fillId="0" borderId="35" xfId="0" applyFont="1" applyFill="1" applyBorder="1" applyAlignment="1">
      <alignment horizontal="center" vertical="center"/>
    </xf>
    <xf numFmtId="3" fontId="27" fillId="0" borderId="26" xfId="0" applyNumberFormat="1" applyFont="1" applyFill="1" applyBorder="1"/>
    <xf numFmtId="3" fontId="27" fillId="0" borderId="27" xfId="0" applyNumberFormat="1" applyFont="1" applyFill="1" applyBorder="1"/>
    <xf numFmtId="3" fontId="27" fillId="0" borderId="24" xfId="0" applyNumberFormat="1" applyFont="1" applyFill="1" applyBorder="1"/>
    <xf numFmtId="0" fontId="27" fillId="0" borderId="22" xfId="0" applyFont="1" applyFill="1" applyBorder="1" applyAlignment="1">
      <alignment horizontal="center" vertical="center"/>
    </xf>
    <xf numFmtId="3" fontId="27" fillId="0" borderId="15" xfId="0" applyNumberFormat="1" applyFont="1" applyFill="1" applyBorder="1"/>
    <xf numFmtId="0" fontId="57" fillId="0" borderId="28" xfId="0" applyFont="1" applyBorder="1" applyAlignment="1">
      <alignment horizontal="center" vertical="center"/>
    </xf>
    <xf numFmtId="0" fontId="57" fillId="0" borderId="26" xfId="0" applyFont="1" applyBorder="1" applyAlignment="1">
      <alignment horizontal="center" wrapText="1"/>
    </xf>
    <xf numFmtId="0" fontId="57" fillId="0" borderId="27" xfId="0" applyFont="1" applyBorder="1" applyAlignment="1">
      <alignment horizontal="center" wrapText="1"/>
    </xf>
    <xf numFmtId="0" fontId="57" fillId="0" borderId="28" xfId="0" applyFont="1" applyBorder="1" applyAlignment="1">
      <alignment horizontal="center" wrapText="1"/>
    </xf>
    <xf numFmtId="0" fontId="27" fillId="8" borderId="12" xfId="0" applyFont="1" applyFill="1" applyBorder="1" applyAlignment="1">
      <alignment horizontal="center" vertical="center" wrapText="1"/>
    </xf>
    <xf numFmtId="3" fontId="27" fillId="9" borderId="10" xfId="0" applyNumberFormat="1" applyFont="1" applyFill="1" applyBorder="1" applyAlignment="1">
      <alignment horizontal="center" vertical="center" wrapText="1"/>
    </xf>
    <xf numFmtId="3" fontId="27" fillId="9" borderId="11" xfId="0" applyNumberFormat="1" applyFont="1" applyFill="1" applyBorder="1" applyAlignment="1">
      <alignment horizontal="center" vertical="center" wrapText="1"/>
    </xf>
    <xf numFmtId="3" fontId="27" fillId="8" borderId="11" xfId="0" applyNumberFormat="1" applyFont="1" applyFill="1" applyBorder="1" applyAlignment="1">
      <alignment horizontal="center" vertical="center" wrapText="1"/>
    </xf>
    <xf numFmtId="3" fontId="27" fillId="8" borderId="12" xfId="0" applyNumberFormat="1" applyFont="1" applyFill="1" applyBorder="1" applyAlignment="1">
      <alignment horizontal="center" vertical="center" wrapText="1"/>
    </xf>
    <xf numFmtId="3" fontId="27" fillId="0" borderId="11" xfId="0" applyNumberFormat="1" applyFont="1" applyBorder="1" applyAlignment="1">
      <alignment horizontal="center" vertical="center" wrapText="1"/>
    </xf>
    <xf numFmtId="0" fontId="27" fillId="8" borderId="14" xfId="0" applyFont="1" applyFill="1" applyBorder="1" applyAlignment="1">
      <alignment horizontal="center" vertical="center" wrapText="1"/>
    </xf>
    <xf numFmtId="3" fontId="27" fillId="9" borderId="13" xfId="0" applyNumberFormat="1" applyFont="1" applyFill="1" applyBorder="1" applyAlignment="1">
      <alignment horizontal="center" vertical="center" wrapText="1"/>
    </xf>
    <xf numFmtId="3" fontId="27" fillId="9" borderId="7" xfId="0" applyNumberFormat="1" applyFont="1" applyFill="1" applyBorder="1" applyAlignment="1">
      <alignment horizontal="center" vertical="center" wrapText="1"/>
    </xf>
    <xf numFmtId="3" fontId="27" fillId="8" borderId="7" xfId="0" applyNumberFormat="1" applyFont="1" applyFill="1" applyBorder="1" applyAlignment="1">
      <alignment horizontal="center" vertical="center" wrapText="1"/>
    </xf>
    <xf numFmtId="3" fontId="27" fillId="8" borderId="14" xfId="0" applyNumberFormat="1" applyFont="1" applyFill="1" applyBorder="1" applyAlignment="1">
      <alignment horizontal="center" vertical="center" wrapText="1"/>
    </xf>
    <xf numFmtId="3" fontId="27" fillId="10" borderId="7" xfId="0" applyNumberFormat="1" applyFont="1" applyFill="1" applyBorder="1" applyAlignment="1">
      <alignment horizontal="center" vertical="center" wrapText="1"/>
    </xf>
    <xf numFmtId="0" fontId="27" fillId="8" borderId="17" xfId="0" applyFont="1" applyFill="1" applyBorder="1" applyAlignment="1">
      <alignment horizontal="center" vertical="center" wrapText="1"/>
    </xf>
    <xf numFmtId="3" fontId="27" fillId="9" borderId="16" xfId="0" applyNumberFormat="1" applyFont="1" applyFill="1" applyBorder="1" applyAlignment="1">
      <alignment horizontal="center" vertical="center" wrapText="1"/>
    </xf>
    <xf numFmtId="3" fontId="27" fillId="8" borderId="16" xfId="0" applyNumberFormat="1" applyFont="1" applyFill="1" applyBorder="1" applyAlignment="1">
      <alignment horizontal="center" vertical="center" wrapText="1"/>
    </xf>
    <xf numFmtId="3" fontId="27" fillId="8" borderId="17" xfId="0" applyNumberFormat="1" applyFont="1" applyFill="1" applyBorder="1" applyAlignment="1">
      <alignment horizontal="center" vertical="center" wrapText="1"/>
    </xf>
    <xf numFmtId="3" fontId="27" fillId="10" borderId="16" xfId="0" applyNumberFormat="1" applyFont="1" applyFill="1" applyBorder="1" applyAlignment="1">
      <alignment horizontal="center" vertical="center" wrapText="1"/>
    </xf>
    <xf numFmtId="0" fontId="27" fillId="0" borderId="12" xfId="0" applyFont="1" applyBorder="1" applyAlignment="1">
      <alignment horizontal="center" vertical="center" wrapText="1"/>
    </xf>
    <xf numFmtId="3" fontId="27" fillId="4" borderId="10" xfId="0" applyNumberFormat="1" applyFont="1" applyFill="1" applyBorder="1" applyAlignment="1">
      <alignment horizontal="center" vertical="center" wrapText="1"/>
    </xf>
    <xf numFmtId="3" fontId="27" fillId="4" borderId="11" xfId="0" applyNumberFormat="1" applyFont="1" applyFill="1" applyBorder="1" applyAlignment="1">
      <alignment horizontal="center" vertical="center" wrapText="1"/>
    </xf>
    <xf numFmtId="3" fontId="27" fillId="0" borderId="12" xfId="0" applyNumberFormat="1" applyFont="1" applyFill="1" applyBorder="1" applyAlignment="1">
      <alignment horizontal="center" vertical="center" wrapText="1"/>
    </xf>
    <xf numFmtId="0" fontId="27" fillId="0" borderId="14" xfId="0" applyFont="1" applyBorder="1" applyAlignment="1">
      <alignment horizontal="center" vertical="center" wrapText="1"/>
    </xf>
    <xf numFmtId="3" fontId="27" fillId="4" borderId="13" xfId="0" applyNumberFormat="1" applyFont="1" applyFill="1" applyBorder="1" applyAlignment="1">
      <alignment horizontal="center" vertical="center" wrapText="1"/>
    </xf>
    <xf numFmtId="3" fontId="27" fillId="4" borderId="7" xfId="0" applyNumberFormat="1" applyFont="1" applyFill="1" applyBorder="1" applyAlignment="1">
      <alignment horizontal="center" vertical="center" wrapText="1"/>
    </xf>
    <xf numFmtId="3" fontId="27" fillId="0" borderId="7" xfId="0" applyNumberFormat="1" applyFont="1" applyBorder="1" applyAlignment="1">
      <alignment horizontal="center" vertical="center" wrapText="1"/>
    </xf>
    <xf numFmtId="3" fontId="27" fillId="0" borderId="14" xfId="0" applyNumberFormat="1" applyFont="1" applyFill="1" applyBorder="1" applyAlignment="1">
      <alignment horizontal="center" vertical="center" wrapText="1"/>
    </xf>
    <xf numFmtId="0" fontId="27" fillId="0" borderId="17" xfId="0" applyFont="1" applyBorder="1" applyAlignment="1">
      <alignment horizontal="center" vertical="center" wrapText="1"/>
    </xf>
    <xf numFmtId="3" fontId="27" fillId="4" borderId="16" xfId="0" applyNumberFormat="1" applyFont="1" applyFill="1" applyBorder="1" applyAlignment="1">
      <alignment horizontal="center" vertical="center" wrapText="1"/>
    </xf>
    <xf numFmtId="3" fontId="27" fillId="0" borderId="16" xfId="0" applyNumberFormat="1" applyFont="1" applyBorder="1" applyAlignment="1">
      <alignment horizontal="center" vertical="center" wrapText="1"/>
    </xf>
    <xf numFmtId="3" fontId="27" fillId="0" borderId="17" xfId="0" applyNumberFormat="1" applyFont="1" applyFill="1" applyBorder="1" applyAlignment="1">
      <alignment horizontal="center" vertical="center" wrapText="1"/>
    </xf>
    <xf numFmtId="3" fontId="27" fillId="0" borderId="10" xfId="0" applyNumberFormat="1" applyFont="1" applyFill="1" applyBorder="1" applyAlignment="1">
      <alignment horizontal="center" vertical="center" wrapText="1"/>
    </xf>
    <xf numFmtId="3" fontId="27" fillId="0" borderId="11" xfId="0" applyNumberFormat="1" applyFont="1" applyFill="1" applyBorder="1" applyAlignment="1">
      <alignment horizontal="center" vertical="center" wrapText="1"/>
    </xf>
    <xf numFmtId="3" fontId="27" fillId="0" borderId="7" xfId="0" applyNumberFormat="1" applyFont="1" applyFill="1" applyBorder="1" applyAlignment="1">
      <alignment horizontal="center" vertical="center" wrapText="1"/>
    </xf>
    <xf numFmtId="3" fontId="27" fillId="0" borderId="16" xfId="0" applyNumberFormat="1" applyFont="1" applyFill="1" applyBorder="1" applyAlignment="1">
      <alignment horizontal="center" vertical="center" wrapText="1"/>
    </xf>
    <xf numFmtId="0" fontId="57" fillId="0" borderId="0" xfId="0" applyFont="1" applyAlignment="1">
      <alignment horizontal="center"/>
    </xf>
    <xf numFmtId="0" fontId="27" fillId="0" borderId="7" xfId="0" applyFont="1" applyBorder="1" applyAlignment="1">
      <alignment horizontal="center" vertical="center"/>
    </xf>
    <xf numFmtId="0" fontId="61" fillId="0" borderId="0" xfId="0" applyFont="1" applyFill="1"/>
    <xf numFmtId="0" fontId="27" fillId="0" borderId="7" xfId="0" applyFont="1" applyBorder="1" applyAlignment="1">
      <alignment horizontal="center"/>
    </xf>
    <xf numFmtId="3" fontId="27" fillId="0" borderId="7" xfId="1" applyNumberFormat="1" applyFont="1" applyBorder="1" applyAlignment="1" applyProtection="1"/>
    <xf numFmtId="0" fontId="27" fillId="0" borderId="0" xfId="0" applyFont="1" applyFill="1" applyAlignment="1">
      <alignment horizontal="right"/>
    </xf>
    <xf numFmtId="166" fontId="27" fillId="0" borderId="7" xfId="0" applyNumberFormat="1" applyFont="1" applyBorder="1" applyAlignment="1">
      <alignment horizontal="center"/>
    </xf>
    <xf numFmtId="0" fontId="27" fillId="8" borderId="7" xfId="0" applyFont="1" applyFill="1" applyBorder="1" applyAlignment="1">
      <alignment horizontal="center"/>
    </xf>
    <xf numFmtId="165" fontId="57" fillId="0" borderId="0" xfId="0" applyNumberFormat="1" applyFont="1" applyFill="1"/>
    <xf numFmtId="4" fontId="27" fillId="0" borderId="7" xfId="0" applyNumberFormat="1" applyFont="1" applyBorder="1"/>
    <xf numFmtId="4" fontId="27" fillId="0" borderId="7" xfId="1" applyNumberFormat="1" applyFont="1" applyFill="1" applyBorder="1" applyAlignment="1" applyProtection="1">
      <alignment horizontal="right"/>
    </xf>
    <xf numFmtId="4" fontId="27" fillId="0" borderId="3" xfId="1" applyNumberFormat="1" applyFont="1" applyFill="1" applyBorder="1" applyAlignment="1" applyProtection="1">
      <alignment horizontal="right"/>
    </xf>
    <xf numFmtId="0" fontId="50" fillId="0" borderId="0" xfId="0" applyFont="1"/>
    <xf numFmtId="0" fontId="50" fillId="0" borderId="0" xfId="0" applyFont="1" applyBorder="1" applyAlignment="1">
      <alignment horizontal="left" wrapText="1"/>
    </xf>
    <xf numFmtId="0" fontId="27" fillId="0" borderId="0" xfId="0" applyFont="1" applyAlignment="1"/>
    <xf numFmtId="3" fontId="27" fillId="0" borderId="2" xfId="1" applyNumberFormat="1" applyFont="1" applyBorder="1" applyAlignment="1" applyProtection="1"/>
    <xf numFmtId="3" fontId="27" fillId="0" borderId="2" xfId="1" applyNumberFormat="1" applyFont="1" applyFill="1" applyBorder="1" applyAlignment="1" applyProtection="1"/>
    <xf numFmtId="0" fontId="27" fillId="8" borderId="7" xfId="1" applyNumberFormat="1" applyFont="1" applyFill="1" applyBorder="1" applyAlignment="1" applyProtection="1"/>
    <xf numFmtId="3" fontId="27" fillId="0" borderId="4" xfId="1" applyNumberFormat="1" applyFont="1" applyFill="1" applyBorder="1" applyAlignment="1" applyProtection="1">
      <alignment horizontal="right"/>
    </xf>
    <xf numFmtId="3" fontId="27" fillId="0" borderId="7" xfId="1" applyNumberFormat="1" applyFont="1" applyBorder="1" applyAlignment="1" applyProtection="1">
      <alignment horizontal="center"/>
    </xf>
    <xf numFmtId="2" fontId="27" fillId="0" borderId="7" xfId="1" applyNumberFormat="1" applyFont="1" applyBorder="1" applyAlignment="1" applyProtection="1">
      <alignment horizontal="right"/>
    </xf>
    <xf numFmtId="164" fontId="27" fillId="0" borderId="7" xfId="1" applyFont="1" applyBorder="1" applyAlignment="1" applyProtection="1">
      <alignment horizontal="right"/>
    </xf>
    <xf numFmtId="164" fontId="27" fillId="0" borderId="7" xfId="1" applyFont="1" applyFill="1" applyBorder="1" applyAlignment="1" applyProtection="1">
      <alignment horizontal="right"/>
    </xf>
    <xf numFmtId="0" fontId="27" fillId="0" borderId="0" xfId="0" applyFont="1" applyAlignment="1">
      <alignment horizontal="center"/>
    </xf>
    <xf numFmtId="0" fontId="27" fillId="0" borderId="0" xfId="0" applyFont="1" applyBorder="1" applyAlignment="1">
      <alignment horizontal="left" wrapText="1"/>
    </xf>
    <xf numFmtId="0" fontId="63" fillId="0" borderId="0" xfId="0" applyFont="1" applyBorder="1" applyAlignment="1">
      <alignment horizontal="left" wrapText="1"/>
    </xf>
    <xf numFmtId="0" fontId="62" fillId="0" borderId="69" xfId="0" applyFont="1" applyFill="1" applyBorder="1" applyAlignment="1">
      <alignment horizontal="center"/>
    </xf>
    <xf numFmtId="0" fontId="57" fillId="0" borderId="36" xfId="0" applyFont="1" applyBorder="1" applyAlignment="1">
      <alignment horizontal="center"/>
    </xf>
    <xf numFmtId="0" fontId="57" fillId="0" borderId="61" xfId="0" applyFont="1" applyBorder="1" applyAlignment="1">
      <alignment horizontal="center"/>
    </xf>
    <xf numFmtId="0" fontId="57" fillId="0" borderId="60" xfId="0" applyFont="1" applyBorder="1" applyAlignment="1">
      <alignment horizontal="center"/>
    </xf>
    <xf numFmtId="0" fontId="57" fillId="0" borderId="73" xfId="0" applyFont="1" applyBorder="1" applyAlignment="1">
      <alignment horizontal="center"/>
    </xf>
    <xf numFmtId="0" fontId="57" fillId="0" borderId="86" xfId="0" applyFont="1" applyBorder="1" applyAlignment="1">
      <alignment horizontal="center"/>
    </xf>
    <xf numFmtId="0" fontId="27" fillId="3" borderId="40" xfId="0" applyFont="1" applyFill="1" applyBorder="1" applyAlignment="1">
      <alignment horizontal="center"/>
    </xf>
    <xf numFmtId="0" fontId="27" fillId="3" borderId="21" xfId="0" applyFont="1" applyFill="1" applyBorder="1" applyAlignment="1">
      <alignment horizontal="center"/>
    </xf>
    <xf numFmtId="0" fontId="27" fillId="0" borderId="43" xfId="0" applyFont="1" applyBorder="1" applyAlignment="1">
      <alignment horizontal="center"/>
    </xf>
    <xf numFmtId="0" fontId="27" fillId="0" borderId="22" xfId="0" applyFont="1" applyBorder="1" applyAlignment="1">
      <alignment horizontal="center"/>
    </xf>
    <xf numFmtId="0" fontId="27" fillId="3" borderId="1" xfId="0" applyFont="1" applyFill="1" applyBorder="1" applyAlignment="1">
      <alignment horizontal="center"/>
    </xf>
    <xf numFmtId="0" fontId="27" fillId="3" borderId="6" xfId="0" applyFont="1" applyFill="1" applyBorder="1" applyAlignment="1">
      <alignment horizontal="center"/>
    </xf>
    <xf numFmtId="0" fontId="27" fillId="0" borderId="9" xfId="0" applyFont="1" applyBorder="1" applyAlignment="1">
      <alignment horizontal="center"/>
    </xf>
    <xf numFmtId="0" fontId="27" fillId="0" borderId="38" xfId="0" applyFont="1" applyBorder="1" applyAlignment="1">
      <alignment horizontal="center"/>
    </xf>
    <xf numFmtId="0" fontId="62" fillId="0" borderId="70" xfId="0" applyFont="1" applyBorder="1" applyAlignment="1">
      <alignment horizontal="left"/>
    </xf>
    <xf numFmtId="0" fontId="62" fillId="0" borderId="68" xfId="0" applyFont="1" applyBorder="1" applyAlignment="1">
      <alignment horizontal="center"/>
    </xf>
    <xf numFmtId="0" fontId="62" fillId="0" borderId="35" xfId="0" applyFont="1" applyBorder="1" applyAlignment="1">
      <alignment horizontal="center"/>
    </xf>
    <xf numFmtId="3" fontId="62" fillId="0" borderId="26" xfId="0" applyNumberFormat="1" applyFont="1" applyBorder="1" applyAlignment="1">
      <alignment horizontal="right"/>
    </xf>
    <xf numFmtId="3" fontId="62" fillId="0" borderId="27" xfId="0" applyNumberFormat="1" applyFont="1" applyBorder="1" applyAlignment="1">
      <alignment horizontal="right"/>
    </xf>
    <xf numFmtId="3" fontId="62" fillId="0" borderId="72" xfId="0" applyNumberFormat="1" applyFont="1" applyBorder="1" applyAlignment="1">
      <alignment horizontal="right"/>
    </xf>
    <xf numFmtId="3" fontId="62" fillId="0" borderId="85" xfId="0" applyNumberFormat="1" applyFont="1" applyBorder="1" applyAlignment="1">
      <alignment horizontal="right"/>
    </xf>
    <xf numFmtId="3" fontId="62" fillId="0" borderId="28" xfId="0" applyNumberFormat="1" applyFont="1" applyFill="1" applyBorder="1" applyAlignment="1">
      <alignment horizontal="right"/>
    </xf>
    <xf numFmtId="174" fontId="27" fillId="0" borderId="9" xfId="0" applyNumberFormat="1" applyFont="1" applyBorder="1"/>
    <xf numFmtId="0" fontId="27" fillId="0" borderId="0" xfId="0" applyFont="1" applyAlignment="1">
      <alignment wrapText="1"/>
    </xf>
    <xf numFmtId="0" fontId="27" fillId="0" borderId="0" xfId="0" applyFont="1" applyAlignment="1">
      <alignment horizontal="center" wrapText="1"/>
    </xf>
    <xf numFmtId="0" fontId="57" fillId="8" borderId="7" xfId="0" applyFont="1" applyFill="1" applyBorder="1" applyAlignment="1">
      <alignment horizontal="center" wrapText="1"/>
    </xf>
    <xf numFmtId="0" fontId="57" fillId="0" borderId="0" xfId="0" applyFont="1" applyFill="1" applyAlignment="1">
      <alignment horizontal="center" wrapText="1"/>
    </xf>
    <xf numFmtId="0" fontId="27" fillId="8" borderId="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8" borderId="7" xfId="0" applyFont="1" applyFill="1" applyBorder="1" applyAlignment="1">
      <alignment wrapText="1"/>
    </xf>
    <xf numFmtId="0" fontId="27" fillId="0" borderId="7" xfId="0" applyFont="1" applyFill="1" applyBorder="1" applyAlignment="1">
      <alignment horizontal="center" wrapText="1"/>
    </xf>
    <xf numFmtId="3" fontId="27" fillId="0" borderId="7" xfId="1" applyNumberFormat="1" applyFont="1" applyFill="1" applyBorder="1" applyAlignment="1" applyProtection="1">
      <alignment wrapText="1"/>
    </xf>
    <xf numFmtId="3" fontId="27" fillId="0" borderId="2" xfId="1" applyNumberFormat="1" applyFont="1" applyFill="1" applyBorder="1" applyAlignment="1" applyProtection="1">
      <alignment horizontal="right" wrapText="1"/>
    </xf>
    <xf numFmtId="0" fontId="27" fillId="0" borderId="0" xfId="0" applyFont="1" applyBorder="1" applyAlignment="1">
      <alignment wrapText="1"/>
    </xf>
    <xf numFmtId="3" fontId="27" fillId="0" borderId="4" xfId="1" applyNumberFormat="1" applyFont="1" applyFill="1" applyBorder="1" applyAlignment="1" applyProtection="1">
      <alignment horizontal="right" wrapText="1"/>
    </xf>
    <xf numFmtId="0" fontId="27" fillId="0" borderId="0" xfId="0" applyFont="1" applyFill="1" applyAlignment="1">
      <alignment wrapText="1"/>
    </xf>
    <xf numFmtId="2" fontId="27" fillId="0" borderId="7" xfId="1" applyNumberFormat="1" applyFont="1" applyFill="1" applyBorder="1" applyAlignment="1" applyProtection="1">
      <alignment horizontal="right" wrapText="1"/>
    </xf>
    <xf numFmtId="2" fontId="27" fillId="0" borderId="4" xfId="1" applyNumberFormat="1" applyFont="1" applyFill="1" applyBorder="1" applyAlignment="1" applyProtection="1">
      <alignment horizontal="right" wrapText="1"/>
    </xf>
    <xf numFmtId="0" fontId="27" fillId="0" borderId="0" xfId="0" applyFont="1" applyFill="1" applyBorder="1" applyAlignment="1">
      <alignment wrapText="1"/>
    </xf>
    <xf numFmtId="0" fontId="27" fillId="0" borderId="0" xfId="0" applyFont="1" applyAlignment="1">
      <alignment horizontal="left" wrapText="1"/>
    </xf>
    <xf numFmtId="0" fontId="27" fillId="0" borderId="0" xfId="0" applyFont="1" applyFill="1" applyAlignment="1">
      <alignment horizontal="left" wrapText="1"/>
    </xf>
    <xf numFmtId="3" fontId="57" fillId="0" borderId="0" xfId="0" applyNumberFormat="1" applyFont="1" applyAlignment="1">
      <alignment wrapText="1"/>
    </xf>
    <xf numFmtId="3" fontId="27" fillId="0" borderId="7" xfId="1" applyNumberFormat="1" applyFont="1" applyFill="1" applyBorder="1" applyAlignment="1" applyProtection="1">
      <alignment horizontal="right" wrapText="1"/>
    </xf>
    <xf numFmtId="0" fontId="27" fillId="0" borderId="0" xfId="0" applyFont="1" applyFill="1" applyAlignment="1">
      <alignment horizontal="center" wrapText="1"/>
    </xf>
    <xf numFmtId="3" fontId="27" fillId="0" borderId="0" xfId="0" applyNumberFormat="1" applyFont="1" applyAlignment="1">
      <alignment horizontal="center" wrapText="1"/>
    </xf>
    <xf numFmtId="3" fontId="0" fillId="0" borderId="7" xfId="0" applyNumberFormat="1" applyFill="1" applyBorder="1" applyAlignment="1">
      <alignment horizontal="center"/>
    </xf>
    <xf numFmtId="0" fontId="72" fillId="0" borderId="0" xfId="0" applyFont="1" applyAlignment="1">
      <alignment horizontal="center"/>
    </xf>
    <xf numFmtId="0" fontId="72" fillId="0" borderId="0" xfId="0" applyFont="1" applyBorder="1" applyAlignment="1">
      <alignment horizontal="center" wrapText="1"/>
    </xf>
    <xf numFmtId="0" fontId="73" fillId="0" borderId="0" xfId="0" applyFont="1" applyBorder="1" applyAlignment="1">
      <alignment horizontal="center" wrapText="1"/>
    </xf>
    <xf numFmtId="0" fontId="58" fillId="0" borderId="60" xfId="0" applyFont="1" applyBorder="1" applyAlignment="1">
      <alignment horizontal="center"/>
    </xf>
    <xf numFmtId="0" fontId="58" fillId="0" borderId="36" xfId="0" applyFont="1" applyBorder="1" applyAlignment="1">
      <alignment horizontal="center"/>
    </xf>
    <xf numFmtId="0" fontId="58" fillId="0" borderId="63" xfId="0" applyFont="1" applyBorder="1" applyAlignment="1">
      <alignment horizontal="center"/>
    </xf>
    <xf numFmtId="1" fontId="30" fillId="0" borderId="0" xfId="3" applyNumberFormat="1" applyFont="1" applyFill="1" applyBorder="1"/>
    <xf numFmtId="3" fontId="30" fillId="0" borderId="0" xfId="3" applyNumberFormat="1" applyFont="1" applyFill="1" applyBorder="1"/>
    <xf numFmtId="0" fontId="58" fillId="0" borderId="62" xfId="0" applyFont="1" applyFill="1" applyBorder="1" applyAlignment="1">
      <alignment horizontal="center"/>
    </xf>
    <xf numFmtId="0" fontId="31" fillId="8" borderId="10" xfId="0" applyNumberFormat="1" applyFont="1" applyFill="1" applyBorder="1" applyAlignment="1">
      <alignment horizontal="left"/>
    </xf>
    <xf numFmtId="0" fontId="31" fillId="8" borderId="13" xfId="0" applyNumberFormat="1" applyFont="1" applyFill="1" applyBorder="1" applyAlignment="1">
      <alignment horizontal="left"/>
    </xf>
    <xf numFmtId="0" fontId="31" fillId="8" borderId="15" xfId="0" applyNumberFormat="1" applyFont="1" applyFill="1" applyBorder="1" applyAlignment="1">
      <alignment horizontal="left"/>
    </xf>
    <xf numFmtId="0" fontId="31" fillId="8" borderId="24" xfId="0" applyNumberFormat="1" applyFont="1" applyFill="1" applyBorder="1" applyAlignment="1">
      <alignment horizontal="left"/>
    </xf>
    <xf numFmtId="0" fontId="31" fillId="8" borderId="19" xfId="0" applyNumberFormat="1" applyFont="1" applyFill="1" applyBorder="1" applyAlignment="1">
      <alignment horizontal="left"/>
    </xf>
    <xf numFmtId="0" fontId="34" fillId="0" borderId="0" xfId="2" applyFont="1"/>
    <xf numFmtId="3" fontId="30" fillId="0" borderId="0" xfId="2" applyNumberFormat="1" applyFont="1"/>
    <xf numFmtId="0" fontId="7" fillId="6" borderId="0" xfId="2" applyFont="1" applyFill="1" applyBorder="1" applyAlignment="1">
      <alignment horizontal="center" wrapText="1"/>
    </xf>
    <xf numFmtId="0" fontId="7" fillId="6" borderId="59" xfId="2" applyFont="1" applyFill="1" applyBorder="1" applyAlignment="1">
      <alignment horizontal="center" wrapText="1"/>
    </xf>
    <xf numFmtId="0" fontId="7" fillId="0" borderId="59" xfId="2" applyFont="1" applyFill="1" applyBorder="1" applyAlignment="1">
      <alignment horizontal="center" wrapText="1"/>
    </xf>
    <xf numFmtId="0" fontId="7" fillId="0" borderId="0" xfId="2" applyFont="1" applyFill="1" applyBorder="1" applyAlignment="1">
      <alignment horizontal="center" wrapText="1"/>
    </xf>
    <xf numFmtId="0" fontId="0" fillId="3" borderId="79"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80" xfId="0" applyFill="1" applyBorder="1" applyAlignment="1">
      <alignment horizontal="center" vertical="center" wrapText="1"/>
    </xf>
    <xf numFmtId="0" fontId="0" fillId="3" borderId="69" xfId="0" applyFill="1" applyBorder="1" applyAlignment="1">
      <alignment horizontal="center" vertical="center" wrapText="1"/>
    </xf>
    <xf numFmtId="0" fontId="0" fillId="3" borderId="81" xfId="0" applyFill="1" applyBorder="1" applyAlignment="1">
      <alignment horizontal="center" vertical="center" wrapText="1"/>
    </xf>
    <xf numFmtId="0" fontId="0" fillId="3" borderId="46" xfId="0" applyFill="1" applyBorder="1" applyAlignment="1">
      <alignment horizontal="center" vertical="center" wrapText="1"/>
    </xf>
    <xf numFmtId="0" fontId="0" fillId="0" borderId="82" xfId="0" applyBorder="1" applyAlignment="1">
      <alignment horizontal="center" vertical="center" wrapText="1"/>
    </xf>
    <xf numFmtId="0" fontId="0" fillId="0" borderId="48" xfId="0" applyBorder="1" applyAlignment="1">
      <alignment horizontal="center" vertical="center" wrapText="1"/>
    </xf>
    <xf numFmtId="0" fontId="0" fillId="0" borderId="80" xfId="0" applyBorder="1" applyAlignment="1">
      <alignment horizontal="center" vertical="center" wrapText="1"/>
    </xf>
    <xf numFmtId="0" fontId="0" fillId="0" borderId="69" xfId="0" applyBorder="1" applyAlignment="1">
      <alignment horizontal="center" vertical="center" wrapText="1"/>
    </xf>
    <xf numFmtId="0" fontId="0" fillId="0" borderId="83" xfId="0" applyBorder="1" applyAlignment="1">
      <alignment horizontal="center" vertical="center" wrapText="1"/>
    </xf>
    <xf numFmtId="0" fontId="0" fillId="0" borderId="34" xfId="0" applyBorder="1" applyAlignment="1">
      <alignment horizontal="center" vertical="center" wrapText="1"/>
    </xf>
    <xf numFmtId="0" fontId="20" fillId="0" borderId="66" xfId="0" applyFont="1" applyBorder="1" applyAlignment="1">
      <alignment horizontal="center"/>
    </xf>
    <xf numFmtId="0" fontId="20" fillId="0" borderId="45" xfId="0" applyFont="1" applyBorder="1" applyAlignment="1">
      <alignment horizontal="center"/>
    </xf>
    <xf numFmtId="0" fontId="0" fillId="8" borderId="27" xfId="0" applyFont="1" applyFill="1" applyBorder="1" applyAlignment="1">
      <alignment horizontal="center" vertical="center" wrapText="1"/>
    </xf>
    <xf numFmtId="0" fontId="0" fillId="8" borderId="27" xfId="0" applyFont="1" applyFill="1" applyBorder="1" applyAlignment="1">
      <alignment horizontal="center" vertical="center"/>
    </xf>
    <xf numFmtId="0" fontId="0" fillId="8" borderId="60" xfId="0" quotePrefix="1" applyFont="1" applyFill="1" applyBorder="1" applyAlignment="1">
      <alignment horizontal="center" vertical="center"/>
    </xf>
    <xf numFmtId="0" fontId="0" fillId="8" borderId="78" xfId="0" quotePrefix="1" applyFont="1" applyFill="1" applyBorder="1" applyAlignment="1">
      <alignment horizontal="center" vertical="center"/>
    </xf>
    <xf numFmtId="3" fontId="27" fillId="0" borderId="41" xfId="0" applyNumberFormat="1" applyFont="1" applyFill="1" applyBorder="1" applyAlignment="1">
      <alignment horizontal="left"/>
    </xf>
    <xf numFmtId="3" fontId="27" fillId="0" borderId="4" xfId="0" applyNumberFormat="1" applyFont="1" applyFill="1" applyBorder="1" applyAlignment="1">
      <alignment horizontal="left"/>
    </xf>
    <xf numFmtId="3" fontId="27" fillId="0" borderId="47" xfId="0" applyNumberFormat="1" applyFont="1" applyFill="1" applyBorder="1" applyAlignment="1">
      <alignment horizontal="left"/>
    </xf>
    <xf numFmtId="0" fontId="0" fillId="0" borderId="60" xfId="0" quotePrefix="1" applyFont="1" applyFill="1" applyBorder="1" applyAlignment="1">
      <alignment horizontal="center" vertical="center"/>
    </xf>
    <xf numFmtId="0" fontId="0" fillId="0" borderId="78" xfId="0" quotePrefix="1"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27" xfId="0" applyFont="1" applyFill="1" applyBorder="1" applyAlignment="1">
      <alignment horizontal="center" vertical="center"/>
    </xf>
    <xf numFmtId="0" fontId="27" fillId="3" borderId="79" xfId="0" applyFont="1" applyFill="1" applyBorder="1" applyAlignment="1">
      <alignment horizontal="center" vertical="center" wrapText="1"/>
    </xf>
    <xf numFmtId="0" fontId="27" fillId="3" borderId="65" xfId="0" applyFont="1" applyFill="1" applyBorder="1" applyAlignment="1">
      <alignment horizontal="center" vertical="center" wrapText="1"/>
    </xf>
    <xf numFmtId="0" fontId="27" fillId="3" borderId="80" xfId="0" applyFont="1" applyFill="1" applyBorder="1" applyAlignment="1">
      <alignment horizontal="center" vertical="center" wrapText="1"/>
    </xf>
    <xf numFmtId="0" fontId="27" fillId="3" borderId="69" xfId="0" applyFont="1" applyFill="1" applyBorder="1" applyAlignment="1">
      <alignment horizontal="center" vertical="center" wrapText="1"/>
    </xf>
    <xf numFmtId="0" fontId="27" fillId="3" borderId="81" xfId="0" applyFont="1" applyFill="1" applyBorder="1" applyAlignment="1">
      <alignment horizontal="center" vertical="center" wrapText="1"/>
    </xf>
    <xf numFmtId="0" fontId="27" fillId="3" borderId="46" xfId="0" applyFont="1" applyFill="1" applyBorder="1" applyAlignment="1">
      <alignment horizontal="center" vertical="center" wrapText="1"/>
    </xf>
    <xf numFmtId="0" fontId="27" fillId="0" borderId="82"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80"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83" xfId="0" applyFont="1" applyBorder="1" applyAlignment="1">
      <alignment horizontal="center" vertical="center" wrapText="1"/>
    </xf>
    <xf numFmtId="0" fontId="27" fillId="0" borderId="34" xfId="0" applyFont="1" applyBorder="1" applyAlignment="1">
      <alignment horizontal="center" vertical="center" wrapText="1"/>
    </xf>
    <xf numFmtId="0" fontId="58" fillId="0" borderId="66" xfId="0" applyFont="1" applyBorder="1" applyAlignment="1">
      <alignment horizontal="center"/>
    </xf>
    <xf numFmtId="0" fontId="58" fillId="0" borderId="45" xfId="0" applyFont="1" applyBorder="1" applyAlignment="1">
      <alignment horizontal="center"/>
    </xf>
    <xf numFmtId="0" fontId="0" fillId="8" borderId="10" xfId="0" applyFill="1" applyBorder="1" applyAlignment="1">
      <alignment horizontal="center" vertical="center"/>
    </xf>
    <xf numFmtId="0" fontId="0" fillId="8" borderId="13" xfId="0" applyFill="1" applyBorder="1" applyAlignment="1">
      <alignment horizontal="center" vertical="center"/>
    </xf>
    <xf numFmtId="0" fontId="0" fillId="8" borderId="15" xfId="0" applyFill="1" applyBorder="1" applyAlignment="1">
      <alignment horizontal="center" vertical="center"/>
    </xf>
    <xf numFmtId="0" fontId="27" fillId="8" borderId="10" xfId="0" applyFont="1" applyFill="1" applyBorder="1" applyAlignment="1">
      <alignment horizontal="center" vertical="center"/>
    </xf>
    <xf numFmtId="0" fontId="27" fillId="8" borderId="13" xfId="0" applyFont="1" applyFill="1" applyBorder="1" applyAlignment="1">
      <alignment horizontal="center" vertical="center"/>
    </xf>
    <xf numFmtId="0" fontId="27" fillId="8" borderId="15" xfId="0" applyFont="1" applyFill="1" applyBorder="1" applyAlignment="1">
      <alignment horizontal="center" vertical="center"/>
    </xf>
    <xf numFmtId="0" fontId="27" fillId="8" borderId="10"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27" fillId="8" borderId="11" xfId="0" applyFont="1" applyFill="1" applyBorder="1" applyAlignment="1">
      <alignment horizontal="center" vertical="center"/>
    </xf>
    <xf numFmtId="0" fontId="27" fillId="8" borderId="7" xfId="0" applyFont="1" applyFill="1" applyBorder="1" applyAlignment="1">
      <alignment horizontal="center" vertical="center"/>
    </xf>
    <xf numFmtId="0" fontId="27" fillId="8" borderId="16" xfId="0" applyFont="1" applyFill="1" applyBorder="1" applyAlignment="1">
      <alignment horizontal="center" vertical="center"/>
    </xf>
    <xf numFmtId="0" fontId="0" fillId="8" borderId="11" xfId="0" applyFill="1" applyBorder="1" applyAlignment="1">
      <alignment horizontal="center" vertical="center"/>
    </xf>
    <xf numFmtId="0" fontId="0" fillId="8" borderId="7" xfId="0" applyFill="1" applyBorder="1" applyAlignment="1">
      <alignment horizontal="center" vertical="center"/>
    </xf>
    <xf numFmtId="0" fontId="0" fillId="8" borderId="16" xfId="0" applyFill="1" applyBorder="1" applyAlignment="1">
      <alignment horizontal="center" vertical="center"/>
    </xf>
    <xf numFmtId="0" fontId="0" fillId="8" borderId="11" xfId="0" applyFill="1" applyBorder="1" applyAlignment="1">
      <alignment horizontal="center" vertical="center" wrapText="1"/>
    </xf>
    <xf numFmtId="0" fontId="0" fillId="8" borderId="7" xfId="0" applyFill="1" applyBorder="1" applyAlignment="1">
      <alignment horizontal="center" vertical="center" wrapText="1"/>
    </xf>
    <xf numFmtId="0" fontId="0" fillId="8" borderId="16" xfId="0" applyFill="1" applyBorder="1" applyAlignment="1">
      <alignment horizontal="center" vertical="center" wrapText="1"/>
    </xf>
    <xf numFmtId="0" fontId="27" fillId="0" borderId="0" xfId="0" applyFont="1" applyFill="1" applyBorder="1" applyAlignment="1">
      <alignment horizontal="left" wrapText="1"/>
    </xf>
    <xf numFmtId="0" fontId="0" fillId="0" borderId="0" xfId="0" applyFont="1" applyFill="1" applyBorder="1" applyAlignment="1">
      <alignment horizontal="left" wrapText="1"/>
    </xf>
    <xf numFmtId="0" fontId="27" fillId="0" borderId="0" xfId="0" applyFont="1" applyFill="1" applyBorder="1" applyAlignment="1">
      <alignment horizontal="center"/>
    </xf>
    <xf numFmtId="0" fontId="27" fillId="8" borderId="7" xfId="0" applyFont="1" applyFill="1" applyBorder="1" applyAlignment="1">
      <alignment horizontal="left" vertical="center"/>
    </xf>
    <xf numFmtId="0" fontId="27" fillId="0" borderId="7" xfId="0" applyFont="1" applyFill="1" applyBorder="1" applyAlignment="1">
      <alignment horizontal="center" vertical="center"/>
    </xf>
    <xf numFmtId="0" fontId="62" fillId="0" borderId="57" xfId="0" applyFont="1" applyFill="1" applyBorder="1" applyAlignment="1">
      <alignment horizontal="center"/>
    </xf>
    <xf numFmtId="0" fontId="62" fillId="0" borderId="34" xfId="0" applyFont="1" applyFill="1" applyBorder="1" applyAlignment="1">
      <alignment horizontal="center"/>
    </xf>
    <xf numFmtId="3" fontId="27" fillId="3" borderId="39" xfId="0" applyNumberFormat="1" applyFont="1" applyFill="1" applyBorder="1" applyAlignment="1">
      <alignment horizontal="left"/>
    </xf>
    <xf numFmtId="3" fontId="27" fillId="3" borderId="55" xfId="0" applyNumberFormat="1" applyFont="1" applyFill="1" applyBorder="1" applyAlignment="1">
      <alignment horizontal="left"/>
    </xf>
    <xf numFmtId="3" fontId="27" fillId="3" borderId="49" xfId="0" applyNumberFormat="1" applyFont="1" applyFill="1" applyBorder="1" applyAlignment="1">
      <alignment horizontal="left"/>
    </xf>
    <xf numFmtId="0" fontId="63" fillId="0" borderId="0" xfId="0" applyFont="1" applyFill="1" applyBorder="1" applyAlignment="1">
      <alignment horizontal="left" wrapText="1"/>
    </xf>
    <xf numFmtId="3" fontId="27" fillId="0" borderId="42" xfId="0" applyNumberFormat="1" applyFont="1" applyFill="1" applyBorder="1" applyAlignment="1">
      <alignment horizontal="left"/>
    </xf>
    <xf numFmtId="3" fontId="27" fillId="0" borderId="56" xfId="0" applyNumberFormat="1" applyFont="1" applyFill="1" applyBorder="1" applyAlignment="1">
      <alignment horizontal="left"/>
    </xf>
    <xf numFmtId="3" fontId="27" fillId="0" borderId="50" xfId="0" applyNumberFormat="1" applyFont="1" applyFill="1" applyBorder="1" applyAlignment="1">
      <alignment horizontal="left"/>
    </xf>
    <xf numFmtId="0" fontId="28" fillId="0" borderId="57" xfId="0" applyFont="1" applyFill="1" applyBorder="1" applyAlignment="1">
      <alignment horizontal="center"/>
    </xf>
    <xf numFmtId="0" fontId="28" fillId="0" borderId="34" xfId="0" applyFont="1" applyFill="1" applyBorder="1" applyAlignment="1">
      <alignment horizontal="center"/>
    </xf>
    <xf numFmtId="0" fontId="38" fillId="0" borderId="0" xfId="0" applyFont="1" applyAlignment="1">
      <alignment horizontal="center"/>
    </xf>
    <xf numFmtId="3" fontId="62" fillId="0" borderId="42" xfId="0" applyNumberFormat="1" applyFont="1" applyFill="1" applyBorder="1" applyAlignment="1">
      <alignment horizontal="left"/>
    </xf>
    <xf numFmtId="3" fontId="62" fillId="0" borderId="56" xfId="0" applyNumberFormat="1" applyFont="1" applyFill="1" applyBorder="1" applyAlignment="1">
      <alignment horizontal="left"/>
    </xf>
    <xf numFmtId="3" fontId="62" fillId="0" borderId="50" xfId="0" applyNumberFormat="1" applyFont="1" applyFill="1" applyBorder="1" applyAlignment="1">
      <alignment horizontal="left"/>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7" xfId="0" applyFont="1" applyFill="1" applyBorder="1" applyAlignment="1">
      <alignment horizontal="center" vertical="center"/>
    </xf>
    <xf numFmtId="0" fontId="0" fillId="8" borderId="24" xfId="0" applyFont="1" applyFill="1" applyBorder="1" applyAlignment="1">
      <alignment horizontal="center" vertical="center"/>
    </xf>
    <xf numFmtId="0" fontId="0" fillId="8" borderId="13" xfId="0" applyFont="1" applyFill="1" applyBorder="1" applyAlignment="1">
      <alignment horizontal="center" vertical="center"/>
    </xf>
    <xf numFmtId="0" fontId="0" fillId="8" borderId="19" xfId="0" applyFont="1" applyFill="1" applyBorder="1" applyAlignment="1">
      <alignment horizontal="center" vertical="center"/>
    </xf>
    <xf numFmtId="0" fontId="0" fillId="8" borderId="23" xfId="0" applyFont="1" applyFill="1" applyBorder="1" applyAlignment="1">
      <alignment horizontal="center" vertical="center" wrapText="1"/>
    </xf>
    <xf numFmtId="0" fontId="0" fillId="8" borderId="7" xfId="0" applyFont="1" applyFill="1" applyBorder="1" applyAlignment="1">
      <alignment horizontal="center" vertical="center" wrapText="1"/>
    </xf>
    <xf numFmtId="0" fontId="0" fillId="8" borderId="18" xfId="0" applyFont="1" applyFill="1" applyBorder="1" applyAlignment="1">
      <alignment horizontal="center" vertical="center" wrapText="1"/>
    </xf>
    <xf numFmtId="0" fontId="0" fillId="8" borderId="36" xfId="0" applyFont="1" applyFill="1" applyBorder="1" applyAlignment="1">
      <alignment horizontal="center" vertical="center"/>
    </xf>
    <xf numFmtId="0" fontId="0" fillId="8" borderId="8" xfId="0" applyFont="1" applyFill="1" applyBorder="1" applyAlignment="1">
      <alignment horizontal="center" vertical="center"/>
    </xf>
    <xf numFmtId="0" fontId="27" fillId="0" borderId="0" xfId="0" applyFont="1" applyAlignment="1">
      <alignment horizontal="left"/>
    </xf>
    <xf numFmtId="0" fontId="0" fillId="8" borderId="60" xfId="0" applyFont="1" applyFill="1" applyBorder="1" applyAlignment="1">
      <alignment horizontal="center" vertical="center" wrapText="1"/>
    </xf>
    <xf numFmtId="0" fontId="0" fillId="8" borderId="99" xfId="0" applyFont="1" applyFill="1" applyBorder="1" applyAlignment="1">
      <alignment horizontal="center" vertical="center" wrapText="1"/>
    </xf>
    <xf numFmtId="0" fontId="0" fillId="8" borderId="78" xfId="0" applyFont="1" applyFill="1" applyBorder="1" applyAlignment="1">
      <alignment horizontal="center" vertical="center" wrapText="1"/>
    </xf>
    <xf numFmtId="0" fontId="27" fillId="8" borderId="27" xfId="0" applyFont="1" applyFill="1" applyBorder="1" applyAlignment="1">
      <alignment horizontal="center" vertical="center" wrapText="1"/>
    </xf>
    <xf numFmtId="0" fontId="27" fillId="8" borderId="27" xfId="0" applyFont="1" applyFill="1"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27" fillId="0" borderId="23"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23" xfId="0" applyFont="1" applyBorder="1" applyAlignment="1">
      <alignment horizontal="center" vertical="center"/>
    </xf>
    <xf numFmtId="0" fontId="27" fillId="0" borderId="7" xfId="0" applyFont="1" applyBorder="1" applyAlignment="1">
      <alignment horizontal="center" vertical="center"/>
    </xf>
    <xf numFmtId="0" fontId="27" fillId="0" borderId="16" xfId="0" applyFont="1" applyBorder="1" applyAlignment="1">
      <alignment horizontal="center" vertical="center"/>
    </xf>
    <xf numFmtId="0" fontId="0" fillId="8" borderId="24" xfId="0" quotePrefix="1" applyFont="1" applyFill="1" applyBorder="1" applyAlignment="1">
      <alignment horizontal="center" vertical="center"/>
    </xf>
    <xf numFmtId="0" fontId="0" fillId="8" borderId="15" xfId="0" quotePrefix="1" applyFont="1" applyFill="1" applyBorder="1" applyAlignment="1">
      <alignment horizontal="center" vertical="center"/>
    </xf>
    <xf numFmtId="0" fontId="27" fillId="0" borderId="23"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23" xfId="0" applyFont="1" applyFill="1" applyBorder="1" applyAlignment="1">
      <alignment horizontal="center" vertical="center"/>
    </xf>
    <xf numFmtId="0" fontId="27" fillId="0" borderId="16" xfId="0" applyFont="1" applyFill="1" applyBorder="1" applyAlignment="1">
      <alignment horizontal="center" vertical="center"/>
    </xf>
    <xf numFmtId="0" fontId="0" fillId="0" borderId="0" xfId="0" quotePrefix="1" applyAlignment="1">
      <alignment horizontal="left" wrapText="1"/>
    </xf>
    <xf numFmtId="3" fontId="27" fillId="3" borderId="41" xfId="0" applyNumberFormat="1" applyFont="1" applyFill="1" applyBorder="1" applyAlignment="1">
      <alignment horizontal="left"/>
    </xf>
    <xf numFmtId="3" fontId="27" fillId="3" borderId="4" xfId="0" applyNumberFormat="1" applyFont="1" applyFill="1" applyBorder="1" applyAlignment="1">
      <alignment horizontal="left"/>
    </xf>
    <xf numFmtId="3" fontId="27" fillId="3" borderId="47" xfId="0" applyNumberFormat="1" applyFont="1" applyFill="1" applyBorder="1" applyAlignment="1">
      <alignment horizontal="left"/>
    </xf>
    <xf numFmtId="0" fontId="12" fillId="0" borderId="0" xfId="0" applyFont="1" applyBorder="1" applyAlignment="1">
      <alignment horizontal="left" wrapText="1"/>
    </xf>
    <xf numFmtId="0" fontId="27" fillId="0" borderId="27" xfId="0" applyFont="1" applyBorder="1" applyAlignment="1">
      <alignment horizontal="center" vertical="center"/>
    </xf>
    <xf numFmtId="0" fontId="0"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31" fillId="0" borderId="0" xfId="0" quotePrefix="1" applyFont="1" applyAlignment="1">
      <alignment horizontal="left" wrapText="1"/>
    </xf>
    <xf numFmtId="0" fontId="31" fillId="0" borderId="0" xfId="0" quotePrefix="1" applyFont="1" applyFill="1" applyAlignment="1">
      <alignment horizontal="left" wrapText="1"/>
    </xf>
    <xf numFmtId="0" fontId="31" fillId="0" borderId="7" xfId="0" applyFont="1" applyFill="1" applyBorder="1" applyAlignment="1">
      <alignment horizontal="center" vertical="center"/>
    </xf>
    <xf numFmtId="0" fontId="31" fillId="8" borderId="7" xfId="0" applyFont="1" applyFill="1" applyBorder="1" applyAlignment="1">
      <alignment horizontal="left" vertical="center"/>
    </xf>
    <xf numFmtId="0" fontId="68" fillId="0" borderId="0" xfId="0" applyFont="1" applyAlignment="1">
      <alignment horizontal="center"/>
    </xf>
    <xf numFmtId="0" fontId="50" fillId="0" borderId="0" xfId="0" applyFont="1" applyBorder="1" applyAlignment="1">
      <alignment horizontal="left" wrapText="1"/>
    </xf>
    <xf numFmtId="0" fontId="27" fillId="0" borderId="0" xfId="0" applyFont="1" applyBorder="1" applyAlignment="1">
      <alignment horizontal="center"/>
    </xf>
    <xf numFmtId="0" fontId="27" fillId="0" borderId="0" xfId="0" applyFont="1" applyBorder="1" applyAlignment="1">
      <alignment horizontal="left" wrapText="1"/>
    </xf>
    <xf numFmtId="0" fontId="0" fillId="0" borderId="0" xfId="0" applyFont="1" applyBorder="1" applyAlignment="1">
      <alignment horizontal="left" wrapText="1"/>
    </xf>
    <xf numFmtId="0" fontId="63" fillId="0" borderId="0" xfId="0" applyFont="1" applyBorder="1" applyAlignment="1">
      <alignment horizontal="left" wrapText="1"/>
    </xf>
    <xf numFmtId="3" fontId="19" fillId="0" borderId="42" xfId="0" applyNumberFormat="1" applyFont="1" applyFill="1" applyBorder="1" applyAlignment="1">
      <alignment horizontal="left"/>
    </xf>
    <xf numFmtId="3" fontId="19" fillId="0" borderId="56" xfId="0" applyNumberFormat="1" applyFont="1" applyFill="1" applyBorder="1" applyAlignment="1">
      <alignment horizontal="left"/>
    </xf>
    <xf numFmtId="3" fontId="19" fillId="0" borderId="50" xfId="0" applyNumberFormat="1" applyFont="1" applyFill="1" applyBorder="1" applyAlignment="1">
      <alignment horizontal="left"/>
    </xf>
    <xf numFmtId="0" fontId="19" fillId="0" borderId="57" xfId="0" applyFont="1" applyFill="1" applyBorder="1" applyAlignment="1">
      <alignment horizontal="center"/>
    </xf>
    <xf numFmtId="0" fontId="19" fillId="0" borderId="34" xfId="0" applyFont="1" applyFill="1" applyBorder="1" applyAlignment="1">
      <alignment horizontal="center"/>
    </xf>
    <xf numFmtId="3" fontId="0" fillId="3" borderId="39" xfId="0" applyNumberFormat="1" applyFill="1" applyBorder="1" applyAlignment="1">
      <alignment horizontal="left"/>
    </xf>
    <xf numFmtId="3" fontId="0" fillId="3" borderId="55" xfId="0" applyNumberFormat="1" applyFill="1" applyBorder="1" applyAlignment="1">
      <alignment horizontal="left"/>
    </xf>
    <xf numFmtId="3" fontId="0" fillId="3" borderId="49" xfId="0" applyNumberFormat="1" applyFill="1" applyBorder="1" applyAlignment="1">
      <alignment horizontal="left"/>
    </xf>
    <xf numFmtId="3" fontId="0" fillId="3" borderId="41" xfId="0" applyNumberFormat="1" applyFill="1" applyBorder="1" applyAlignment="1">
      <alignment horizontal="left"/>
    </xf>
    <xf numFmtId="3" fontId="0" fillId="3" borderId="4" xfId="0" applyNumberFormat="1" applyFill="1" applyBorder="1" applyAlignment="1">
      <alignment horizontal="left"/>
    </xf>
    <xf numFmtId="3" fontId="0" fillId="3" borderId="47" xfId="0" applyNumberFormat="1" applyFill="1" applyBorder="1" applyAlignment="1">
      <alignment horizontal="left"/>
    </xf>
    <xf numFmtId="3" fontId="0" fillId="0" borderId="41" xfId="0" applyNumberFormat="1" applyFill="1" applyBorder="1" applyAlignment="1">
      <alignment horizontal="left"/>
    </xf>
    <xf numFmtId="3" fontId="0" fillId="0" borderId="4" xfId="0" applyNumberFormat="1" applyFill="1" applyBorder="1" applyAlignment="1">
      <alignment horizontal="left"/>
    </xf>
    <xf numFmtId="3" fontId="0" fillId="0" borderId="47" xfId="0" applyNumberFormat="1" applyFill="1" applyBorder="1" applyAlignment="1">
      <alignment horizontal="left"/>
    </xf>
    <xf numFmtId="3" fontId="0" fillId="0" borderId="42" xfId="0" applyNumberFormat="1" applyFill="1" applyBorder="1" applyAlignment="1">
      <alignment horizontal="left"/>
    </xf>
    <xf numFmtId="3" fontId="0" fillId="0" borderId="56" xfId="0" applyNumberFormat="1" applyFill="1" applyBorder="1" applyAlignment="1">
      <alignment horizontal="left"/>
    </xf>
    <xf numFmtId="3" fontId="0" fillId="0" borderId="50" xfId="0" applyNumberFormat="1" applyFill="1" applyBorder="1" applyAlignment="1">
      <alignment horizontal="left"/>
    </xf>
    <xf numFmtId="0" fontId="27" fillId="0" borderId="0" xfId="0" applyFont="1" applyFill="1" applyBorder="1" applyAlignment="1">
      <alignment horizontal="center" wrapText="1"/>
    </xf>
    <xf numFmtId="0" fontId="27" fillId="0" borderId="0" xfId="0" applyFont="1" applyFill="1" applyAlignment="1">
      <alignment horizontal="left" vertical="center" wrapText="1"/>
    </xf>
    <xf numFmtId="0" fontId="12" fillId="0" borderId="0" xfId="0" applyFont="1" applyBorder="1" applyAlignment="1">
      <alignment horizontal="center" wrapText="1"/>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36" xfId="0" applyBorder="1" applyAlignment="1">
      <alignment horizontal="center" vertical="center"/>
    </xf>
    <xf numFmtId="0" fontId="0" fillId="0" borderId="8" xfId="0"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27" fillId="0" borderId="0" xfId="0" applyFont="1" applyAlignment="1">
      <alignment horizontal="left" vertical="center" wrapText="1"/>
    </xf>
    <xf numFmtId="0" fontId="0" fillId="0" borderId="0" xfId="0" applyFont="1" applyAlignment="1">
      <alignment horizontal="left" vertical="center" wrapText="1"/>
    </xf>
    <xf numFmtId="0" fontId="38" fillId="0" borderId="0" xfId="0" applyFont="1" applyAlignment="1">
      <alignment horizontal="center" wrapText="1"/>
    </xf>
    <xf numFmtId="0" fontId="0" fillId="0" borderId="0" xfId="0" applyFont="1" applyAlignment="1">
      <alignment horizontal="left"/>
    </xf>
    <xf numFmtId="0" fontId="30" fillId="0" borderId="23" xfId="2" applyFont="1" applyFill="1" applyBorder="1" applyAlignment="1">
      <alignment horizontal="center" vertical="center" wrapText="1"/>
    </xf>
    <xf numFmtId="0" fontId="30" fillId="0" borderId="18" xfId="2" applyFont="1" applyFill="1" applyBorder="1" applyAlignment="1">
      <alignment horizontal="center" vertical="center" wrapText="1"/>
    </xf>
    <xf numFmtId="0" fontId="30" fillId="3" borderId="11" xfId="2" applyFont="1" applyFill="1" applyBorder="1" applyAlignment="1">
      <alignment horizontal="center" vertical="center" wrapText="1"/>
    </xf>
    <xf numFmtId="0" fontId="30" fillId="3" borderId="16" xfId="2" applyFont="1" applyFill="1" applyBorder="1" applyAlignment="1">
      <alignment horizontal="center" vertical="center" wrapText="1"/>
    </xf>
    <xf numFmtId="0" fontId="30" fillId="0" borderId="23" xfId="2" applyFont="1" applyFill="1" applyBorder="1" applyAlignment="1">
      <alignment horizontal="center" vertical="center"/>
    </xf>
    <xf numFmtId="0" fontId="30" fillId="0" borderId="18" xfId="2" applyFont="1" applyFill="1" applyBorder="1" applyAlignment="1">
      <alignment horizontal="center" vertical="center"/>
    </xf>
    <xf numFmtId="0" fontId="31" fillId="0" borderId="0" xfId="0" applyFont="1" applyAlignment="1">
      <alignment horizontal="left"/>
    </xf>
    <xf numFmtId="3" fontId="31" fillId="3" borderId="22" xfId="0" applyNumberFormat="1" applyFont="1" applyFill="1" applyBorder="1" applyAlignment="1">
      <alignment horizontal="left" vertical="top"/>
    </xf>
    <xf numFmtId="3" fontId="31" fillId="3" borderId="43" xfId="0" applyNumberFormat="1" applyFont="1" applyFill="1" applyBorder="1" applyAlignment="1">
      <alignment horizontal="left" vertical="top"/>
    </xf>
    <xf numFmtId="3" fontId="31" fillId="3" borderId="66" xfId="0" applyNumberFormat="1" applyFont="1" applyFill="1" applyBorder="1" applyAlignment="1">
      <alignment horizontal="left"/>
    </xf>
    <xf numFmtId="3" fontId="31" fillId="3" borderId="68" xfId="0" applyNumberFormat="1" applyFont="1" applyFill="1" applyBorder="1" applyAlignment="1">
      <alignment horizontal="left"/>
    </xf>
    <xf numFmtId="3" fontId="31" fillId="0" borderId="39" xfId="0" applyNumberFormat="1" applyFont="1" applyFill="1" applyBorder="1" applyAlignment="1">
      <alignment horizontal="left"/>
    </xf>
    <xf numFmtId="3" fontId="31" fillId="0" borderId="40" xfId="0" applyNumberFormat="1" applyFont="1" applyFill="1" applyBorder="1" applyAlignment="1">
      <alignment horizontal="left"/>
    </xf>
    <xf numFmtId="3" fontId="31" fillId="0" borderId="42" xfId="0" applyNumberFormat="1" applyFont="1" applyFill="1" applyBorder="1" applyAlignment="1">
      <alignment horizontal="left"/>
    </xf>
    <xf numFmtId="3" fontId="31" fillId="0" borderId="43" xfId="0" applyNumberFormat="1" applyFont="1" applyFill="1" applyBorder="1" applyAlignment="1">
      <alignment horizontal="left"/>
    </xf>
    <xf numFmtId="0" fontId="34" fillId="0" borderId="66" xfId="2" applyFont="1" applyFill="1" applyBorder="1" applyAlignment="1">
      <alignment horizontal="left"/>
    </xf>
    <xf numFmtId="0" fontId="34" fillId="0" borderId="67" xfId="2" applyFont="1" applyFill="1" applyBorder="1" applyAlignment="1">
      <alignment horizontal="left"/>
    </xf>
    <xf numFmtId="0" fontId="34" fillId="0" borderId="45" xfId="2" applyFont="1" applyFill="1" applyBorder="1" applyAlignment="1">
      <alignment horizontal="left"/>
    </xf>
    <xf numFmtId="0" fontId="28" fillId="0" borderId="0" xfId="0" applyFont="1" applyFill="1" applyBorder="1" applyAlignment="1">
      <alignment horizontal="center"/>
    </xf>
    <xf numFmtId="0" fontId="28" fillId="0" borderId="69" xfId="0" applyFont="1" applyFill="1" applyBorder="1" applyAlignment="1">
      <alignment horizontal="center"/>
    </xf>
    <xf numFmtId="3" fontId="31" fillId="3" borderId="10" xfId="0" applyNumberFormat="1" applyFont="1" applyFill="1" applyBorder="1" applyAlignment="1">
      <alignment horizontal="left"/>
    </xf>
    <xf numFmtId="3" fontId="31" fillId="3" borderId="11" xfId="0" applyNumberFormat="1" applyFont="1" applyFill="1" applyBorder="1" applyAlignment="1">
      <alignment horizontal="left"/>
    </xf>
    <xf numFmtId="3" fontId="31" fillId="0" borderId="15" xfId="0" applyNumberFormat="1" applyFont="1" applyFill="1" applyBorder="1" applyAlignment="1">
      <alignment horizontal="left"/>
    </xf>
    <xf numFmtId="3" fontId="31" fillId="0" borderId="16" xfId="0" applyNumberFormat="1" applyFont="1" applyFill="1" applyBorder="1" applyAlignment="1">
      <alignment horizontal="left"/>
    </xf>
    <xf numFmtId="3" fontId="28" fillId="3" borderId="26" xfId="0" applyNumberFormat="1" applyFont="1" applyFill="1" applyBorder="1" applyAlignment="1">
      <alignment horizontal="left"/>
    </xf>
    <xf numFmtId="3" fontId="28" fillId="3" borderId="28" xfId="0" applyNumberFormat="1" applyFont="1" applyFill="1" applyBorder="1" applyAlignment="1">
      <alignment horizontal="left"/>
    </xf>
    <xf numFmtId="3" fontId="31" fillId="3" borderId="39" xfId="0" applyNumberFormat="1" applyFont="1" applyFill="1" applyBorder="1" applyAlignment="1">
      <alignment horizontal="left"/>
    </xf>
    <xf numFmtId="3" fontId="31" fillId="3" borderId="40" xfId="0" applyNumberFormat="1" applyFont="1" applyFill="1" applyBorder="1" applyAlignment="1">
      <alignment horizontal="left"/>
    </xf>
    <xf numFmtId="0" fontId="39" fillId="0" borderId="0" xfId="2" applyFont="1" applyAlignment="1">
      <alignment horizontal="center"/>
    </xf>
    <xf numFmtId="3" fontId="31" fillId="3" borderId="3" xfId="0" applyNumberFormat="1" applyFont="1" applyFill="1" applyBorder="1" applyAlignment="1">
      <alignment horizontal="left" vertical="top"/>
    </xf>
    <xf numFmtId="3" fontId="31" fillId="3" borderId="5" xfId="0" applyNumberFormat="1" applyFont="1" applyFill="1" applyBorder="1" applyAlignment="1">
      <alignment horizontal="left" vertical="top"/>
    </xf>
    <xf numFmtId="0" fontId="0" fillId="0" borderId="0" xfId="0" applyFont="1" applyFill="1" applyBorder="1" applyAlignment="1">
      <alignment horizontal="center"/>
    </xf>
    <xf numFmtId="3" fontId="31" fillId="3" borderId="21" xfId="0" applyNumberFormat="1" applyFont="1" applyFill="1" applyBorder="1" applyAlignment="1">
      <alignment horizontal="left" vertical="top"/>
    </xf>
    <xf numFmtId="3" fontId="31" fillId="3" borderId="40" xfId="0" applyNumberFormat="1" applyFont="1" applyFill="1" applyBorder="1" applyAlignment="1">
      <alignment horizontal="left" vertical="top"/>
    </xf>
  </cellXfs>
  <cellStyles count="17">
    <cellStyle name="Milliers" xfId="1" builtinId="3"/>
    <cellStyle name="Normal" xfId="0" builtinId="0"/>
    <cellStyle name="Normal 2" xfId="2"/>
    <cellStyle name="Normal 2 2" xfId="4"/>
    <cellStyle name="Normal 2 2 2" xfId="12"/>
    <cellStyle name="Normal 2 3" xfId="6"/>
    <cellStyle name="Normal 2 4" xfId="8"/>
    <cellStyle name="Normal 2 5" xfId="11"/>
    <cellStyle name="Normal 2 6" xfId="16"/>
    <cellStyle name="Normal 3" xfId="5"/>
    <cellStyle name="Normal 3 2" xfId="13"/>
    <cellStyle name="Normal 4" xfId="3"/>
    <cellStyle name="Normal 4 2" xfId="7"/>
    <cellStyle name="Normal 4 3" xfId="9"/>
    <cellStyle name="Normal 4 4" xfId="14"/>
    <cellStyle name="Normal 5" xfId="15"/>
    <cellStyle name="Pourcentage 2" xfId="1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dk1"/>
                </a:solidFill>
                <a:latin typeface="+mn-lt"/>
                <a:ea typeface="+mn-ea"/>
                <a:cs typeface="+mn-cs"/>
              </a:defRPr>
            </a:pPr>
            <a:r>
              <a:rPr lang="en-US" sz="1000"/>
              <a:t>Flux trimestriels UE-Canada (téc)</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dk1"/>
              </a:solidFill>
              <a:latin typeface="+mn-lt"/>
              <a:ea typeface="+mn-ea"/>
              <a:cs typeface="+mn-cs"/>
            </a:defRPr>
          </a:pPr>
          <a:endParaRPr lang="fr-FR"/>
        </a:p>
      </c:txPr>
    </c:title>
    <c:autoTitleDeleted val="0"/>
    <c:plotArea>
      <c:layout/>
      <c:areaChart>
        <c:grouping val="stacked"/>
        <c:varyColors val="0"/>
        <c:ser>
          <c:idx val="1"/>
          <c:order val="1"/>
          <c:tx>
            <c:strRef>
              <c:f>'Viande bovine'!$D$154</c:f>
              <c:strCache>
                <c:ptCount val="1"/>
                <c:pt idx="0">
                  <c:v>Imp. sous contingent</c:v>
                </c:pt>
              </c:strCache>
            </c:strRef>
          </c:tx>
          <c:spPr>
            <a:solidFill>
              <a:srgbClr val="FF0000"/>
            </a:solidFill>
            <a:ln>
              <a:noFill/>
            </a:ln>
            <a:effectLst/>
          </c:spPr>
          <c:cat>
            <c:strRef>
              <c:f>'Viande bovine'!$E$152:$AF$152</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T1</c:v>
                </c:pt>
                <c:pt idx="21">
                  <c:v>2019- T2</c:v>
                </c:pt>
                <c:pt idx="22">
                  <c:v>2019-T3</c:v>
                </c:pt>
                <c:pt idx="23">
                  <c:v>2019-T4</c:v>
                </c:pt>
                <c:pt idx="24">
                  <c:v>2020-T1</c:v>
                </c:pt>
                <c:pt idx="25">
                  <c:v>2020-T2</c:v>
                </c:pt>
                <c:pt idx="26">
                  <c:v>2020-T3</c:v>
                </c:pt>
                <c:pt idx="27">
                  <c:v>2020-T4</c:v>
                </c:pt>
              </c:strCache>
            </c:strRef>
          </c:cat>
          <c:val>
            <c:numRef>
              <c:f>'Viande bovine'!$E$154:$AF$154</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12.533468047486737</c:v>
                </c:pt>
                <c:pt idx="13">
                  <c:v>0</c:v>
                </c:pt>
                <c:pt idx="14">
                  <c:v>14.700681990401616</c:v>
                </c:pt>
                <c:pt idx="15" formatCode="#,##0">
                  <c:v>60</c:v>
                </c:pt>
                <c:pt idx="16">
                  <c:v>69.793503257953233</c:v>
                </c:pt>
                <c:pt idx="17">
                  <c:v>101.08173629743196</c:v>
                </c:pt>
                <c:pt idx="18">
                  <c:v>39.672096588731314</c:v>
                </c:pt>
                <c:pt idx="19">
                  <c:v>240.45266385588349</c:v>
                </c:pt>
                <c:pt idx="20">
                  <c:v>149.45558915483571</c:v>
                </c:pt>
                <c:pt idx="21">
                  <c:v>127.58479831889703</c:v>
                </c:pt>
                <c:pt idx="22">
                  <c:v>123.66485572241299</c:v>
                </c:pt>
                <c:pt idx="23">
                  <c:v>206.29475680385423</c:v>
                </c:pt>
                <c:pt idx="24">
                  <c:v>127.76358090841646</c:v>
                </c:pt>
                <c:pt idx="25">
                  <c:v>138.73547110708103</c:v>
                </c:pt>
                <c:pt idx="26">
                  <c:v>259.24490973538866</c:v>
                </c:pt>
                <c:pt idx="27">
                  <c:v>574.25603824911377</c:v>
                </c:pt>
              </c:numCache>
            </c:numRef>
          </c:val>
          <c:extLst xmlns:c16r2="http://schemas.microsoft.com/office/drawing/2015/06/chart">
            <c:ext xmlns:c16="http://schemas.microsoft.com/office/drawing/2014/chart" uri="{C3380CC4-5D6E-409C-BE32-E72D297353CC}">
              <c16:uniqueId val="{00000000-6E65-40A4-AAC9-E8272C9AAF3F}"/>
            </c:ext>
          </c:extLst>
        </c:ser>
        <c:ser>
          <c:idx val="2"/>
          <c:order val="2"/>
          <c:tx>
            <c:strRef>
              <c:f>'Viande bovine'!$D$155</c:f>
              <c:strCache>
                <c:ptCount val="1"/>
                <c:pt idx="0">
                  <c:v>Imp. hors contingent</c:v>
                </c:pt>
              </c:strCache>
            </c:strRef>
          </c:tx>
          <c:spPr>
            <a:solidFill>
              <a:schemeClr val="accent2"/>
            </a:solidFill>
            <a:ln>
              <a:noFill/>
            </a:ln>
            <a:effectLst/>
          </c:spPr>
          <c:cat>
            <c:strRef>
              <c:f>'Viande bovine'!$E$152:$AF$152</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T1</c:v>
                </c:pt>
                <c:pt idx="21">
                  <c:v>2019- T2</c:v>
                </c:pt>
                <c:pt idx="22">
                  <c:v>2019-T3</c:v>
                </c:pt>
                <c:pt idx="23">
                  <c:v>2019-T4</c:v>
                </c:pt>
                <c:pt idx="24">
                  <c:v>2020-T1</c:v>
                </c:pt>
                <c:pt idx="25">
                  <c:v>2020-T2</c:v>
                </c:pt>
                <c:pt idx="26">
                  <c:v>2020-T3</c:v>
                </c:pt>
                <c:pt idx="27">
                  <c:v>2020-T4</c:v>
                </c:pt>
              </c:strCache>
            </c:strRef>
          </c:cat>
          <c:val>
            <c:numRef>
              <c:f>'Viande bovine'!$E$155:$AF$155</c:f>
              <c:numCache>
                <c:formatCode>General</c:formatCode>
                <c:ptCount val="28"/>
                <c:pt idx="0">
                  <c:v>226.07</c:v>
                </c:pt>
                <c:pt idx="1">
                  <c:v>201.37</c:v>
                </c:pt>
                <c:pt idx="2">
                  <c:v>221.39000000000001</c:v>
                </c:pt>
                <c:pt idx="3">
                  <c:v>127.00999999999999</c:v>
                </c:pt>
                <c:pt idx="4">
                  <c:v>121.55000000000001</c:v>
                </c:pt>
                <c:pt idx="5">
                  <c:v>138.84</c:v>
                </c:pt>
                <c:pt idx="6">
                  <c:v>71.37</c:v>
                </c:pt>
                <c:pt idx="7">
                  <c:v>96.72</c:v>
                </c:pt>
                <c:pt idx="8">
                  <c:v>91.78</c:v>
                </c:pt>
                <c:pt idx="9">
                  <c:v>61.49</c:v>
                </c:pt>
                <c:pt idx="10">
                  <c:v>115.44</c:v>
                </c:pt>
                <c:pt idx="11">
                  <c:v>115.69999999999999</c:v>
                </c:pt>
                <c:pt idx="12" formatCode="#,##0">
                  <c:v>94.97653195251327</c:v>
                </c:pt>
                <c:pt idx="13" formatCode="#,##0">
                  <c:v>138.19</c:v>
                </c:pt>
                <c:pt idx="14" formatCode="#,##0">
                  <c:v>111.39931800959839</c:v>
                </c:pt>
                <c:pt idx="15" formatCode="#,##0">
                  <c:v>0</c:v>
                </c:pt>
                <c:pt idx="16">
                  <c:v>140.15649674204676</c:v>
                </c:pt>
                <c:pt idx="17">
                  <c:v>202.98826370256802</c:v>
                </c:pt>
                <c:pt idx="18">
                  <c:v>79.667903411268696</c:v>
                </c:pt>
                <c:pt idx="19">
                  <c:v>482.86733614411651</c:v>
                </c:pt>
                <c:pt idx="20">
                  <c:v>475.06441084516428</c:v>
                </c:pt>
                <c:pt idx="21">
                  <c:v>405.54520168110298</c:v>
                </c:pt>
                <c:pt idx="22">
                  <c:v>393.08514427758701</c:v>
                </c:pt>
                <c:pt idx="23">
                  <c:v>655.7352431961458</c:v>
                </c:pt>
                <c:pt idx="24">
                  <c:v>55.406419091583558</c:v>
                </c:pt>
                <c:pt idx="25">
                  <c:v>60.164528892918973</c:v>
                </c:pt>
                <c:pt idx="26">
                  <c:v>112.42509026461134</c:v>
                </c:pt>
                <c:pt idx="27">
                  <c:v>249.03396175088616</c:v>
                </c:pt>
              </c:numCache>
            </c:numRef>
          </c:val>
          <c:extLst xmlns:c16r2="http://schemas.microsoft.com/office/drawing/2015/06/chart">
            <c:ext xmlns:c16="http://schemas.microsoft.com/office/drawing/2014/chart" uri="{C3380CC4-5D6E-409C-BE32-E72D297353CC}">
              <c16:uniqueId val="{00000001-6E65-40A4-AAC9-E8272C9AAF3F}"/>
            </c:ext>
          </c:extLst>
        </c:ser>
        <c:dLbls>
          <c:showLegendKey val="0"/>
          <c:showVal val="0"/>
          <c:showCatName val="0"/>
          <c:showSerName val="0"/>
          <c:showPercent val="0"/>
          <c:showBubbleSize val="0"/>
        </c:dLbls>
        <c:axId val="147477296"/>
        <c:axId val="144676464"/>
      </c:areaChart>
      <c:lineChart>
        <c:grouping val="standard"/>
        <c:varyColors val="0"/>
        <c:ser>
          <c:idx val="0"/>
          <c:order val="0"/>
          <c:tx>
            <c:strRef>
              <c:f>'Viande bovine'!$D$153</c:f>
              <c:strCache>
                <c:ptCount val="1"/>
                <c:pt idx="0">
                  <c:v>Exp.</c:v>
                </c:pt>
              </c:strCache>
            </c:strRef>
          </c:tx>
          <c:spPr>
            <a:ln w="28575" cap="rnd">
              <a:solidFill>
                <a:schemeClr val="accent1"/>
              </a:solidFill>
              <a:round/>
            </a:ln>
            <a:effectLst/>
          </c:spPr>
          <c:marker>
            <c:symbol val="none"/>
          </c:marker>
          <c:cat>
            <c:strRef>
              <c:f>'Viande bovine'!$E$152:$AF$152</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T1</c:v>
                </c:pt>
                <c:pt idx="21">
                  <c:v>2019- T2</c:v>
                </c:pt>
                <c:pt idx="22">
                  <c:v>2019-T3</c:v>
                </c:pt>
                <c:pt idx="23">
                  <c:v>2019-T4</c:v>
                </c:pt>
                <c:pt idx="24">
                  <c:v>2020-T1</c:v>
                </c:pt>
                <c:pt idx="25">
                  <c:v>2020-T2</c:v>
                </c:pt>
                <c:pt idx="26">
                  <c:v>2020-T3</c:v>
                </c:pt>
                <c:pt idx="27">
                  <c:v>2020-T4</c:v>
                </c:pt>
              </c:strCache>
            </c:strRef>
          </c:cat>
          <c:val>
            <c:numRef>
              <c:f>'Viande bovine'!$E$153:$AF$153</c:f>
              <c:numCache>
                <c:formatCode>#,##0</c:formatCode>
                <c:ptCount val="28"/>
                <c:pt idx="0">
                  <c:v>0</c:v>
                </c:pt>
                <c:pt idx="1">
                  <c:v>0</c:v>
                </c:pt>
                <c:pt idx="2">
                  <c:v>37.699999999999996</c:v>
                </c:pt>
                <c:pt idx="3">
                  <c:v>165.75</c:v>
                </c:pt>
                <c:pt idx="4">
                  <c:v>4.42</c:v>
                </c:pt>
                <c:pt idx="5">
                  <c:v>11.700000000000001</c:v>
                </c:pt>
                <c:pt idx="6">
                  <c:v>2.73</c:v>
                </c:pt>
                <c:pt idx="7">
                  <c:v>0.78</c:v>
                </c:pt>
                <c:pt idx="8">
                  <c:v>68.77</c:v>
                </c:pt>
                <c:pt idx="9">
                  <c:v>117.78</c:v>
                </c:pt>
                <c:pt idx="10">
                  <c:v>201.89000000000001</c:v>
                </c:pt>
                <c:pt idx="11">
                  <c:v>329.16</c:v>
                </c:pt>
                <c:pt idx="12">
                  <c:v>418.34000000000003</c:v>
                </c:pt>
                <c:pt idx="13">
                  <c:v>560.56000000000006</c:v>
                </c:pt>
                <c:pt idx="14">
                  <c:v>873.73</c:v>
                </c:pt>
                <c:pt idx="15">
                  <c:v>708.5</c:v>
                </c:pt>
                <c:pt idx="16">
                  <c:v>381.94000000000005</c:v>
                </c:pt>
                <c:pt idx="17">
                  <c:v>423.28000000000003</c:v>
                </c:pt>
                <c:pt idx="18">
                  <c:v>549.12</c:v>
                </c:pt>
                <c:pt idx="19">
                  <c:v>594.23</c:v>
                </c:pt>
                <c:pt idx="20">
                  <c:v>571.09</c:v>
                </c:pt>
                <c:pt idx="21">
                  <c:v>1165.3200000000002</c:v>
                </c:pt>
                <c:pt idx="22">
                  <c:v>1335.1000000000001</c:v>
                </c:pt>
                <c:pt idx="23">
                  <c:v>3737.1100000000006</c:v>
                </c:pt>
                <c:pt idx="24">
                  <c:v>4697.29</c:v>
                </c:pt>
                <c:pt idx="25">
                  <c:v>5380.7000000000007</c:v>
                </c:pt>
                <c:pt idx="26">
                  <c:v>6341.79</c:v>
                </c:pt>
                <c:pt idx="27">
                  <c:v>4557.0200000000004</c:v>
                </c:pt>
              </c:numCache>
            </c:numRef>
          </c:val>
          <c:smooth val="0"/>
          <c:extLst xmlns:c16r2="http://schemas.microsoft.com/office/drawing/2015/06/chart">
            <c:ext xmlns:c16="http://schemas.microsoft.com/office/drawing/2014/chart" uri="{C3380CC4-5D6E-409C-BE32-E72D297353CC}">
              <c16:uniqueId val="{00000002-6E65-40A4-AAC9-E8272C9AAF3F}"/>
            </c:ext>
          </c:extLst>
        </c:ser>
        <c:ser>
          <c:idx val="3"/>
          <c:order val="3"/>
          <c:tx>
            <c:strRef>
              <c:f>'Viande bovine'!$D$156</c:f>
              <c:strCache>
                <c:ptCount val="1"/>
                <c:pt idx="0">
                  <c:v>0,1% conso UE</c:v>
                </c:pt>
              </c:strCache>
            </c:strRef>
          </c:tx>
          <c:spPr>
            <a:ln w="28575" cap="rnd">
              <a:solidFill>
                <a:schemeClr val="tx1"/>
              </a:solidFill>
              <a:prstDash val="sysDot"/>
              <a:round/>
            </a:ln>
            <a:effectLst/>
          </c:spPr>
          <c:marker>
            <c:symbol val="none"/>
          </c:marker>
          <c:cat>
            <c:strRef>
              <c:f>'Viande bovine'!$E$152:$AF$152</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T1</c:v>
                </c:pt>
                <c:pt idx="21">
                  <c:v>2019- T2</c:v>
                </c:pt>
                <c:pt idx="22">
                  <c:v>2019-T3</c:v>
                </c:pt>
                <c:pt idx="23">
                  <c:v>2019-T4</c:v>
                </c:pt>
                <c:pt idx="24">
                  <c:v>2020-T1</c:v>
                </c:pt>
                <c:pt idx="25">
                  <c:v>2020-T2</c:v>
                </c:pt>
                <c:pt idx="26">
                  <c:v>2020-T3</c:v>
                </c:pt>
                <c:pt idx="27">
                  <c:v>2020-T4</c:v>
                </c:pt>
              </c:strCache>
            </c:strRef>
          </c:cat>
          <c:val>
            <c:numRef>
              <c:f>'Viande bovine'!$E$156:$AF$156</c:f>
              <c:numCache>
                <c:formatCode>#,##0</c:formatCode>
                <c:ptCount val="28"/>
                <c:pt idx="0">
                  <c:v>1732.0749186200003</c:v>
                </c:pt>
                <c:pt idx="1">
                  <c:v>1732.0749186200003</c:v>
                </c:pt>
                <c:pt idx="2">
                  <c:v>1732.0749186200003</c:v>
                </c:pt>
                <c:pt idx="3">
                  <c:v>1732.0749186200003</c:v>
                </c:pt>
                <c:pt idx="4">
                  <c:v>1789.0366777299998</c:v>
                </c:pt>
                <c:pt idx="5">
                  <c:v>1789.0366777299998</c:v>
                </c:pt>
                <c:pt idx="6">
                  <c:v>1789.0366777299998</c:v>
                </c:pt>
                <c:pt idx="7">
                  <c:v>1789.0366777299998</c:v>
                </c:pt>
                <c:pt idx="8">
                  <c:v>1819.4267480919259</c:v>
                </c:pt>
                <c:pt idx="9">
                  <c:v>1819.4267480919259</c:v>
                </c:pt>
                <c:pt idx="10">
                  <c:v>1819.4267480919259</c:v>
                </c:pt>
                <c:pt idx="11">
                  <c:v>1819.4267480919259</c:v>
                </c:pt>
                <c:pt idx="12">
                  <c:v>1765.2888472642192</c:v>
                </c:pt>
                <c:pt idx="13">
                  <c:v>1765.2888472642192</c:v>
                </c:pt>
                <c:pt idx="14">
                  <c:v>1765.2888472642192</c:v>
                </c:pt>
                <c:pt idx="15">
                  <c:v>1765.2888472642192</c:v>
                </c:pt>
                <c:pt idx="16">
                  <c:v>1866.1861640660534</c:v>
                </c:pt>
                <c:pt idx="17">
                  <c:v>1866.1861640660534</c:v>
                </c:pt>
                <c:pt idx="18">
                  <c:v>1866.1861640660534</c:v>
                </c:pt>
                <c:pt idx="19">
                  <c:v>1866.1861640660534</c:v>
                </c:pt>
                <c:pt idx="20">
                  <c:v>1841.0745331833068</c:v>
                </c:pt>
                <c:pt idx="21">
                  <c:v>1841.0745331833068</c:v>
                </c:pt>
                <c:pt idx="22">
                  <c:v>1841.0745331833068</c:v>
                </c:pt>
                <c:pt idx="23">
                  <c:v>1841.0745331833068</c:v>
                </c:pt>
                <c:pt idx="24">
                  <c:v>1781.50718588217</c:v>
                </c:pt>
                <c:pt idx="25">
                  <c:v>1781.50718588217</c:v>
                </c:pt>
                <c:pt idx="26">
                  <c:v>1781.50718588217</c:v>
                </c:pt>
                <c:pt idx="27">
                  <c:v>1781.50718588217</c:v>
                </c:pt>
              </c:numCache>
            </c:numRef>
          </c:val>
          <c:smooth val="0"/>
          <c:extLst xmlns:c16r2="http://schemas.microsoft.com/office/drawing/2015/06/chart">
            <c:ext xmlns:c16="http://schemas.microsoft.com/office/drawing/2014/chart" uri="{C3380CC4-5D6E-409C-BE32-E72D297353CC}">
              <c16:uniqueId val="{00000003-6E65-40A4-AAC9-E8272C9AAF3F}"/>
            </c:ext>
          </c:extLst>
        </c:ser>
        <c:dLbls>
          <c:showLegendKey val="0"/>
          <c:showVal val="0"/>
          <c:showCatName val="0"/>
          <c:showSerName val="0"/>
          <c:showPercent val="0"/>
          <c:showBubbleSize val="0"/>
        </c:dLbls>
        <c:marker val="1"/>
        <c:smooth val="0"/>
        <c:axId val="147477296"/>
        <c:axId val="144676464"/>
      </c:lineChart>
      <c:catAx>
        <c:axId val="147477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fr-FR"/>
          </a:p>
        </c:txPr>
        <c:crossAx val="144676464"/>
        <c:crosses val="autoZero"/>
        <c:auto val="1"/>
        <c:lblAlgn val="ctr"/>
        <c:lblOffset val="100"/>
        <c:tickMarkSkip val="4"/>
        <c:noMultiLvlLbl val="0"/>
      </c:catAx>
      <c:valAx>
        <c:axId val="144676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dk1">
                <a:alpha val="96000"/>
              </a:schemeClr>
            </a:solidFill>
          </a:ln>
          <a:effectLst/>
        </c:spPr>
        <c:txPr>
          <a:bodyPr rot="-60000000" spcFirstLastPara="1" vertOverflow="ellipsis" vert="horz" wrap="square" anchor="ctr" anchorCtr="1"/>
          <a:lstStyle/>
          <a:p>
            <a:pPr>
              <a:defRPr sz="700" b="0" i="0" u="none" strike="noStrike" kern="1200" baseline="0">
                <a:solidFill>
                  <a:schemeClr val="dk1"/>
                </a:solidFill>
                <a:latin typeface="+mn-lt"/>
                <a:ea typeface="+mn-ea"/>
                <a:cs typeface="+mn-cs"/>
              </a:defRPr>
            </a:pPr>
            <a:endParaRPr lang="fr-FR"/>
          </a:p>
        </c:txPr>
        <c:crossAx val="147477296"/>
        <c:crosses val="autoZero"/>
        <c:crossBetween val="between"/>
        <c:majorUnit val="50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700" b="0" i="0" u="none" strike="noStrike" kern="1200" baseline="0">
              <a:solidFill>
                <a:schemeClr val="dk1"/>
              </a:solidFill>
              <a:latin typeface="+mn-lt"/>
              <a:ea typeface="+mn-ea"/>
              <a:cs typeface="+mn-cs"/>
            </a:defRPr>
          </a:pPr>
          <a:endParaRPr lang="fr-FR"/>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baseline="0">
                <a:effectLst/>
              </a:rPr>
              <a:t>Flux trimestriels UE-Canada (en téc)</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areaChart>
        <c:grouping val="stacked"/>
        <c:varyColors val="0"/>
        <c:ser>
          <c:idx val="0"/>
          <c:order val="0"/>
          <c:tx>
            <c:strRef>
              <c:f>'Viande porcine'!$D$120</c:f>
              <c:strCache>
                <c:ptCount val="1"/>
                <c:pt idx="0">
                  <c:v>Exp. (jambon)</c:v>
                </c:pt>
              </c:strCache>
            </c:strRef>
          </c:tx>
          <c:spPr>
            <a:pattFill prst="wdUpDiag">
              <a:fgClr>
                <a:schemeClr val="accent1">
                  <a:lumMod val="75000"/>
                </a:schemeClr>
              </a:fgClr>
              <a:bgClr>
                <a:schemeClr val="bg1"/>
              </a:bgClr>
            </a:pattFill>
            <a:ln>
              <a:noFill/>
            </a:ln>
            <a:effectLst/>
          </c:spPr>
          <c:cat>
            <c:strRef>
              <c:f>'Viande porcine'!$E$119:$AF$119</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 T1</c:v>
                </c:pt>
                <c:pt idx="21">
                  <c:v>2019 - T2</c:v>
                </c:pt>
                <c:pt idx="22">
                  <c:v>2019 - T3</c:v>
                </c:pt>
                <c:pt idx="23">
                  <c:v>2019 - T4</c:v>
                </c:pt>
                <c:pt idx="24">
                  <c:v>2020 - T1</c:v>
                </c:pt>
                <c:pt idx="25">
                  <c:v>2020 - T2</c:v>
                </c:pt>
                <c:pt idx="26">
                  <c:v>2020 - T3</c:v>
                </c:pt>
                <c:pt idx="27">
                  <c:v>2020 - T4</c:v>
                </c:pt>
              </c:strCache>
            </c:strRef>
          </c:cat>
          <c:val>
            <c:numRef>
              <c:f>'Viande porcine'!$E$120:$AF$120</c:f>
              <c:numCache>
                <c:formatCode>#,##0</c:formatCode>
                <c:ptCount val="28"/>
                <c:pt idx="0">
                  <c:v>1201.92</c:v>
                </c:pt>
                <c:pt idx="1">
                  <c:v>1684.864</c:v>
                </c:pt>
                <c:pt idx="2">
                  <c:v>1978.4960000000001</c:v>
                </c:pt>
                <c:pt idx="3">
                  <c:v>1822.336</c:v>
                </c:pt>
                <c:pt idx="4">
                  <c:v>1677.184</c:v>
                </c:pt>
                <c:pt idx="5">
                  <c:v>1918.9760000000001</c:v>
                </c:pt>
                <c:pt idx="6">
                  <c:v>2140.4160000000002</c:v>
                </c:pt>
                <c:pt idx="7">
                  <c:v>3132.9279999999999</c:v>
                </c:pt>
                <c:pt idx="8">
                  <c:v>3801.4720000000002</c:v>
                </c:pt>
                <c:pt idx="9">
                  <c:v>3206.7840000000001</c:v>
                </c:pt>
                <c:pt idx="10">
                  <c:v>1657.856</c:v>
                </c:pt>
                <c:pt idx="11">
                  <c:v>2126.4639999999999</c:v>
                </c:pt>
                <c:pt idx="12">
                  <c:v>2420.7359999999999</c:v>
                </c:pt>
                <c:pt idx="13">
                  <c:v>1822.336</c:v>
                </c:pt>
                <c:pt idx="14">
                  <c:v>1370.24</c:v>
                </c:pt>
                <c:pt idx="15">
                  <c:v>2155.2640000000001</c:v>
                </c:pt>
                <c:pt idx="16">
                  <c:v>2407.808</c:v>
                </c:pt>
                <c:pt idx="17">
                  <c:v>1672.8320000000001</c:v>
                </c:pt>
                <c:pt idx="18">
                  <c:v>2086.0160000000001</c:v>
                </c:pt>
                <c:pt idx="19">
                  <c:v>1765.8880000000001</c:v>
                </c:pt>
                <c:pt idx="20">
                  <c:v>1688.576</c:v>
                </c:pt>
                <c:pt idx="21">
                  <c:v>2549.248</c:v>
                </c:pt>
                <c:pt idx="22">
                  <c:v>1564.4159999999999</c:v>
                </c:pt>
                <c:pt idx="23">
                  <c:v>1397.1200000000001</c:v>
                </c:pt>
                <c:pt idx="24">
                  <c:v>1667.328</c:v>
                </c:pt>
                <c:pt idx="25">
                  <c:v>1694.08</c:v>
                </c:pt>
                <c:pt idx="26">
                  <c:v>1168.5119999999999</c:v>
                </c:pt>
                <c:pt idx="27">
                  <c:v>1595.136</c:v>
                </c:pt>
              </c:numCache>
            </c:numRef>
          </c:val>
          <c:extLst xmlns:c16r2="http://schemas.microsoft.com/office/drawing/2015/06/chart">
            <c:ext xmlns:c16="http://schemas.microsoft.com/office/drawing/2014/chart" uri="{C3380CC4-5D6E-409C-BE32-E72D297353CC}">
              <c16:uniqueId val="{00000000-E82D-4736-B8D0-3847E09E6DA1}"/>
            </c:ext>
          </c:extLst>
        </c:ser>
        <c:ser>
          <c:idx val="1"/>
          <c:order val="1"/>
          <c:tx>
            <c:strRef>
              <c:f>'Viande porcine'!$D$121</c:f>
              <c:strCache>
                <c:ptCount val="1"/>
                <c:pt idx="0">
                  <c:v>Exp. (hors jambon)</c:v>
                </c:pt>
              </c:strCache>
            </c:strRef>
          </c:tx>
          <c:spPr>
            <a:solidFill>
              <a:schemeClr val="accent1">
                <a:lumMod val="75000"/>
              </a:schemeClr>
            </a:solidFill>
            <a:ln>
              <a:noFill/>
            </a:ln>
            <a:effectLst/>
          </c:spPr>
          <c:cat>
            <c:strRef>
              <c:f>'Viande porcine'!$E$119:$AF$119</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 T1</c:v>
                </c:pt>
                <c:pt idx="21">
                  <c:v>2019 - T2</c:v>
                </c:pt>
                <c:pt idx="22">
                  <c:v>2019 - T3</c:v>
                </c:pt>
                <c:pt idx="23">
                  <c:v>2019 - T4</c:v>
                </c:pt>
                <c:pt idx="24">
                  <c:v>2020 - T1</c:v>
                </c:pt>
                <c:pt idx="25">
                  <c:v>2020 - T2</c:v>
                </c:pt>
                <c:pt idx="26">
                  <c:v>2020 - T3</c:v>
                </c:pt>
                <c:pt idx="27">
                  <c:v>2020 - T4</c:v>
                </c:pt>
              </c:strCache>
            </c:strRef>
          </c:cat>
          <c:val>
            <c:numRef>
              <c:f>'Viande porcine'!$E$121:$AF$121</c:f>
              <c:numCache>
                <c:formatCode>#,##0</c:formatCode>
                <c:ptCount val="28"/>
                <c:pt idx="0">
                  <c:v>1708.1599999999999</c:v>
                </c:pt>
                <c:pt idx="1">
                  <c:v>2116.6080000000002</c:v>
                </c:pt>
                <c:pt idx="2">
                  <c:v>2475.5199999999995</c:v>
                </c:pt>
                <c:pt idx="3">
                  <c:v>3587.7119999999995</c:v>
                </c:pt>
                <c:pt idx="4">
                  <c:v>3299.7119999999995</c:v>
                </c:pt>
                <c:pt idx="5">
                  <c:v>2345.8560000000002</c:v>
                </c:pt>
                <c:pt idx="6">
                  <c:v>2084.7359999999999</c:v>
                </c:pt>
                <c:pt idx="7">
                  <c:v>2642.5599999999995</c:v>
                </c:pt>
                <c:pt idx="8">
                  <c:v>4081.1519999999996</c:v>
                </c:pt>
                <c:pt idx="9">
                  <c:v>4462.7200000000012</c:v>
                </c:pt>
                <c:pt idx="10">
                  <c:v>3264.8960000000006</c:v>
                </c:pt>
                <c:pt idx="11">
                  <c:v>3886.3360000000002</c:v>
                </c:pt>
                <c:pt idx="12">
                  <c:v>7008.0000000000009</c:v>
                </c:pt>
                <c:pt idx="13">
                  <c:v>4409.2160000000003</c:v>
                </c:pt>
                <c:pt idx="14">
                  <c:v>4710.2719999999999</c:v>
                </c:pt>
                <c:pt idx="15">
                  <c:v>7852.1599999999989</c:v>
                </c:pt>
                <c:pt idx="16">
                  <c:v>7076.2239999999993</c:v>
                </c:pt>
                <c:pt idx="17">
                  <c:v>4515.84</c:v>
                </c:pt>
                <c:pt idx="18">
                  <c:v>5888.6400000000012</c:v>
                </c:pt>
                <c:pt idx="19">
                  <c:v>6050.0479999999998</c:v>
                </c:pt>
                <c:pt idx="20">
                  <c:v>5796.4800000000005</c:v>
                </c:pt>
                <c:pt idx="21">
                  <c:v>5022.2080000000005</c:v>
                </c:pt>
                <c:pt idx="22">
                  <c:v>4532.2240000000002</c:v>
                </c:pt>
                <c:pt idx="23">
                  <c:v>4433.7920000000004</c:v>
                </c:pt>
                <c:pt idx="24">
                  <c:v>5269.1200000000008</c:v>
                </c:pt>
                <c:pt idx="25">
                  <c:v>5233.4080000000004</c:v>
                </c:pt>
                <c:pt idx="26">
                  <c:v>5190.7840000000006</c:v>
                </c:pt>
                <c:pt idx="27">
                  <c:v>7647.4879999999994</c:v>
                </c:pt>
              </c:numCache>
            </c:numRef>
          </c:val>
          <c:extLst xmlns:c16r2="http://schemas.microsoft.com/office/drawing/2015/06/chart">
            <c:ext xmlns:c16="http://schemas.microsoft.com/office/drawing/2014/chart" uri="{C3380CC4-5D6E-409C-BE32-E72D297353CC}">
              <c16:uniqueId val="{00000001-E82D-4736-B8D0-3847E09E6DA1}"/>
            </c:ext>
          </c:extLst>
        </c:ser>
        <c:dLbls>
          <c:showLegendKey val="0"/>
          <c:showVal val="0"/>
          <c:showCatName val="0"/>
          <c:showSerName val="0"/>
          <c:showPercent val="0"/>
          <c:showBubbleSize val="0"/>
        </c:dLbls>
        <c:axId val="185411568"/>
        <c:axId val="185411176"/>
      </c:areaChart>
      <c:lineChart>
        <c:grouping val="standard"/>
        <c:varyColors val="0"/>
        <c:ser>
          <c:idx val="2"/>
          <c:order val="2"/>
          <c:tx>
            <c:strRef>
              <c:f>'Viande porcine'!$D$122</c:f>
              <c:strCache>
                <c:ptCount val="1"/>
                <c:pt idx="0">
                  <c:v>0,1% conso UE</c:v>
                </c:pt>
              </c:strCache>
            </c:strRef>
          </c:tx>
          <c:spPr>
            <a:ln w="28575" cap="rnd">
              <a:solidFill>
                <a:schemeClr val="tx1"/>
              </a:solidFill>
              <a:prstDash val="sysDot"/>
              <a:round/>
            </a:ln>
            <a:effectLst/>
          </c:spPr>
          <c:marker>
            <c:symbol val="none"/>
          </c:marker>
          <c:cat>
            <c:strRef>
              <c:f>'Viande porcine'!$E$119:$AF$119</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 T1</c:v>
                </c:pt>
                <c:pt idx="21">
                  <c:v>2019 - T2</c:v>
                </c:pt>
                <c:pt idx="22">
                  <c:v>2019 - T3</c:v>
                </c:pt>
                <c:pt idx="23">
                  <c:v>2019 - T4</c:v>
                </c:pt>
                <c:pt idx="24">
                  <c:v>2020 - T1</c:v>
                </c:pt>
                <c:pt idx="25">
                  <c:v>2020 - T2</c:v>
                </c:pt>
                <c:pt idx="26">
                  <c:v>2020 - T3</c:v>
                </c:pt>
                <c:pt idx="27">
                  <c:v>2020 - T4</c:v>
                </c:pt>
              </c:strCache>
            </c:strRef>
          </c:cat>
          <c:val>
            <c:numRef>
              <c:f>'Viande porcine'!$E$122:$AF$122</c:f>
              <c:numCache>
                <c:formatCode>#,##0</c:formatCode>
                <c:ptCount val="28"/>
                <c:pt idx="0">
                  <c:v>5217.6699374999989</c:v>
                </c:pt>
                <c:pt idx="1">
                  <c:v>5217.6699374999989</c:v>
                </c:pt>
                <c:pt idx="2">
                  <c:v>5217.6699374999989</c:v>
                </c:pt>
                <c:pt idx="3">
                  <c:v>5217.6699374999989</c:v>
                </c:pt>
                <c:pt idx="4">
                  <c:v>5174.9576275000009</c:v>
                </c:pt>
                <c:pt idx="5">
                  <c:v>5174.9576275000009</c:v>
                </c:pt>
                <c:pt idx="6">
                  <c:v>5174.9576275000009</c:v>
                </c:pt>
                <c:pt idx="7">
                  <c:v>5174.9576275000009</c:v>
                </c:pt>
                <c:pt idx="8">
                  <c:v>5165.4201200000025</c:v>
                </c:pt>
                <c:pt idx="9">
                  <c:v>5165.4201200000025</c:v>
                </c:pt>
                <c:pt idx="10">
                  <c:v>5165.4201200000025</c:v>
                </c:pt>
                <c:pt idx="11">
                  <c:v>5165.4201200000025</c:v>
                </c:pt>
                <c:pt idx="12">
                  <c:v>5143.5577199999998</c:v>
                </c:pt>
                <c:pt idx="13">
                  <c:v>5143.5577199999998</c:v>
                </c:pt>
                <c:pt idx="14">
                  <c:v>5143.5577199999998</c:v>
                </c:pt>
                <c:pt idx="15">
                  <c:v>5143.5577199999998</c:v>
                </c:pt>
                <c:pt idx="16">
                  <c:v>5171.25</c:v>
                </c:pt>
                <c:pt idx="17">
                  <c:v>5171.25</c:v>
                </c:pt>
                <c:pt idx="18">
                  <c:v>5171.25</c:v>
                </c:pt>
                <c:pt idx="19">
                  <c:v>5171.25</c:v>
                </c:pt>
                <c:pt idx="20">
                  <c:v>5041.5</c:v>
                </c:pt>
                <c:pt idx="21">
                  <c:v>5041.5</c:v>
                </c:pt>
                <c:pt idx="22">
                  <c:v>5041.5</c:v>
                </c:pt>
                <c:pt idx="23">
                  <c:v>5041.5</c:v>
                </c:pt>
                <c:pt idx="24">
                  <c:v>4948</c:v>
                </c:pt>
                <c:pt idx="25">
                  <c:v>4948</c:v>
                </c:pt>
                <c:pt idx="26">
                  <c:v>4948</c:v>
                </c:pt>
                <c:pt idx="27">
                  <c:v>4948</c:v>
                </c:pt>
              </c:numCache>
            </c:numRef>
          </c:val>
          <c:smooth val="0"/>
          <c:extLst xmlns:c16r2="http://schemas.microsoft.com/office/drawing/2015/06/chart">
            <c:ext xmlns:c16="http://schemas.microsoft.com/office/drawing/2014/chart" uri="{C3380CC4-5D6E-409C-BE32-E72D297353CC}">
              <c16:uniqueId val="{00000002-E82D-4736-B8D0-3847E09E6DA1}"/>
            </c:ext>
          </c:extLst>
        </c:ser>
        <c:dLbls>
          <c:showLegendKey val="0"/>
          <c:showVal val="0"/>
          <c:showCatName val="0"/>
          <c:showSerName val="0"/>
          <c:showPercent val="0"/>
          <c:showBubbleSize val="0"/>
        </c:dLbls>
        <c:marker val="1"/>
        <c:smooth val="0"/>
        <c:axId val="185411568"/>
        <c:axId val="185411176"/>
      </c:lineChart>
      <c:catAx>
        <c:axId val="1854115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85411176"/>
        <c:crosses val="autoZero"/>
        <c:auto val="1"/>
        <c:lblAlgn val="ctr"/>
        <c:lblOffset val="100"/>
        <c:tickMarkSkip val="4"/>
        <c:noMultiLvlLbl val="0"/>
      </c:catAx>
      <c:valAx>
        <c:axId val="185411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85411568"/>
        <c:crosses val="autoZero"/>
        <c:crossBetween val="between"/>
      </c:valAx>
      <c:spPr>
        <a:noFill/>
        <a:ln>
          <a:noFill/>
        </a:ln>
        <a:effectLst/>
      </c:spPr>
    </c:plotArea>
    <c:legend>
      <c:legendPos val="b"/>
      <c:legendEntry>
        <c:idx val="2"/>
        <c:delete val="1"/>
      </c:legendEntry>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baseline="0">
                <a:effectLst/>
              </a:rPr>
              <a:t>Flux trimestriels UE-Canada (en téc)</a:t>
            </a:r>
            <a:endParaRPr lang="fr-FR" sz="1000">
              <a:effectLst/>
            </a:endParaRP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areaChart>
        <c:grouping val="stacked"/>
        <c:varyColors val="0"/>
        <c:ser>
          <c:idx val="0"/>
          <c:order val="0"/>
          <c:tx>
            <c:strRef>
              <c:f>'Viande porcine'!$D$125</c:f>
              <c:strCache>
                <c:ptCount val="1"/>
                <c:pt idx="0">
                  <c:v>Imp. sous contingent</c:v>
                </c:pt>
              </c:strCache>
            </c:strRef>
          </c:tx>
          <c:spPr>
            <a:solidFill>
              <a:srgbClr val="FF0000"/>
            </a:solidFill>
            <a:ln>
              <a:noFill/>
            </a:ln>
            <a:effectLst/>
          </c:spPr>
          <c:cat>
            <c:strRef>
              <c:f>'Viande porcine'!$E$124:$AF$124</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 T1</c:v>
                </c:pt>
                <c:pt idx="21">
                  <c:v>2019 - T2</c:v>
                </c:pt>
                <c:pt idx="22">
                  <c:v>2019 - T3</c:v>
                </c:pt>
                <c:pt idx="23">
                  <c:v>2019 - T4</c:v>
                </c:pt>
                <c:pt idx="24">
                  <c:v>2020 - T1</c:v>
                </c:pt>
                <c:pt idx="25">
                  <c:v>2020 - T2</c:v>
                </c:pt>
                <c:pt idx="26">
                  <c:v>2020 - T3</c:v>
                </c:pt>
                <c:pt idx="27">
                  <c:v>2020 - T4</c:v>
                </c:pt>
              </c:strCache>
            </c:strRef>
          </c:cat>
          <c:val>
            <c:numRef>
              <c:f>'Viande porcine'!$E$125:$Z$125</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24</c:v>
                </c:pt>
                <c:pt idx="16">
                  <c:v>24.818239392020264</c:v>
                </c:pt>
                <c:pt idx="17">
                  <c:v>141.48955034832173</c:v>
                </c:pt>
                <c:pt idx="18">
                  <c:v>75.094363521215968</c:v>
                </c:pt>
                <c:pt idx="19">
                  <c:v>162.59784673844206</c:v>
                </c:pt>
                <c:pt idx="20">
                  <c:v>67.077292110874197</c:v>
                </c:pt>
                <c:pt idx="21">
                  <c:v>66.123134328358205</c:v>
                </c:pt>
              </c:numCache>
            </c:numRef>
          </c:val>
          <c:extLst xmlns:c16r2="http://schemas.microsoft.com/office/drawing/2015/06/chart">
            <c:ext xmlns:c16="http://schemas.microsoft.com/office/drawing/2014/chart" uri="{C3380CC4-5D6E-409C-BE32-E72D297353CC}">
              <c16:uniqueId val="{00000000-9A78-4106-98E6-A46BACE02552}"/>
            </c:ext>
          </c:extLst>
        </c:ser>
        <c:ser>
          <c:idx val="1"/>
          <c:order val="1"/>
          <c:tx>
            <c:strRef>
              <c:f>'Viande porcine'!$D$126</c:f>
              <c:strCache>
                <c:ptCount val="1"/>
                <c:pt idx="0">
                  <c:v>Imp. hors contingent</c:v>
                </c:pt>
              </c:strCache>
            </c:strRef>
          </c:tx>
          <c:spPr>
            <a:solidFill>
              <a:schemeClr val="accent2"/>
            </a:solidFill>
            <a:ln>
              <a:noFill/>
            </a:ln>
            <a:effectLst/>
          </c:spPr>
          <c:cat>
            <c:strRef>
              <c:f>'Viande porcine'!$E$124:$AF$124</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 T1</c:v>
                </c:pt>
                <c:pt idx="21">
                  <c:v>2019 - T2</c:v>
                </c:pt>
                <c:pt idx="22">
                  <c:v>2019 - T3</c:v>
                </c:pt>
                <c:pt idx="23">
                  <c:v>2019 - T4</c:v>
                </c:pt>
                <c:pt idx="24">
                  <c:v>2020 - T1</c:v>
                </c:pt>
                <c:pt idx="25">
                  <c:v>2020 - T2</c:v>
                </c:pt>
                <c:pt idx="26">
                  <c:v>2020 - T3</c:v>
                </c:pt>
                <c:pt idx="27">
                  <c:v>2020 - T4</c:v>
                </c:pt>
              </c:strCache>
            </c:strRef>
          </c:cat>
          <c:val>
            <c:numRef>
              <c:f>'Viande porcine'!$E$126:$AF$126</c:f>
              <c:numCache>
                <c:formatCode>General</c:formatCode>
                <c:ptCount val="28"/>
                <c:pt idx="0">
                  <c:v>31.872</c:v>
                </c:pt>
                <c:pt idx="1">
                  <c:v>0</c:v>
                </c:pt>
                <c:pt idx="2">
                  <c:v>0</c:v>
                </c:pt>
                <c:pt idx="3">
                  <c:v>126.464</c:v>
                </c:pt>
                <c:pt idx="4">
                  <c:v>0</c:v>
                </c:pt>
                <c:pt idx="5">
                  <c:v>0.128</c:v>
                </c:pt>
                <c:pt idx="6">
                  <c:v>21.376000000000001</c:v>
                </c:pt>
                <c:pt idx="7">
                  <c:v>0.89600000000000002</c:v>
                </c:pt>
                <c:pt idx="8">
                  <c:v>18.048000000000002</c:v>
                </c:pt>
                <c:pt idx="9">
                  <c:v>0</c:v>
                </c:pt>
                <c:pt idx="10">
                  <c:v>51.328000000000003</c:v>
                </c:pt>
                <c:pt idx="11">
                  <c:v>31.872</c:v>
                </c:pt>
                <c:pt idx="12">
                  <c:v>1.92</c:v>
                </c:pt>
                <c:pt idx="13">
                  <c:v>94.335999999999999</c:v>
                </c:pt>
                <c:pt idx="14">
                  <c:v>30.72</c:v>
                </c:pt>
                <c:pt idx="15">
                  <c:v>161.47200000000001</c:v>
                </c:pt>
                <c:pt idx="16">
                  <c:v>1.3760607979736819E-2</c:v>
                </c:pt>
                <c:pt idx="17">
                  <c:v>7.8449651678293417E-2</c:v>
                </c:pt>
                <c:pt idx="18">
                  <c:v>4.1636478784049039E-2</c:v>
                </c:pt>
                <c:pt idx="19">
                  <c:v>9.0153261557966477E-2</c:v>
                </c:pt>
                <c:pt idx="20">
                  <c:v>22.906707889125808</c:v>
                </c:pt>
                <c:pt idx="21">
                  <c:v>22.580865671641799</c:v>
                </c:pt>
                <c:pt idx="22">
                  <c:v>0</c:v>
                </c:pt>
                <c:pt idx="23">
                  <c:v>15.640426439232414</c:v>
                </c:pt>
                <c:pt idx="24">
                  <c:v>159.87200000000001</c:v>
                </c:pt>
                <c:pt idx="25">
                  <c:v>1.536</c:v>
                </c:pt>
                <c:pt idx="26">
                  <c:v>0</c:v>
                </c:pt>
                <c:pt idx="27">
                  <c:v>0</c:v>
                </c:pt>
              </c:numCache>
            </c:numRef>
          </c:val>
          <c:extLst xmlns:c16r2="http://schemas.microsoft.com/office/drawing/2015/06/chart">
            <c:ext xmlns:c16="http://schemas.microsoft.com/office/drawing/2014/chart" uri="{C3380CC4-5D6E-409C-BE32-E72D297353CC}">
              <c16:uniqueId val="{00000001-9A78-4106-98E6-A46BACE02552}"/>
            </c:ext>
          </c:extLst>
        </c:ser>
        <c:dLbls>
          <c:showLegendKey val="0"/>
          <c:showVal val="0"/>
          <c:showCatName val="0"/>
          <c:showSerName val="0"/>
          <c:showPercent val="0"/>
          <c:showBubbleSize val="0"/>
        </c:dLbls>
        <c:axId val="185412352"/>
        <c:axId val="185417448"/>
      </c:areaChart>
      <c:lineChart>
        <c:grouping val="standard"/>
        <c:varyColors val="0"/>
        <c:ser>
          <c:idx val="2"/>
          <c:order val="2"/>
          <c:tx>
            <c:strRef>
              <c:f>'Viande porcine'!$D$127</c:f>
              <c:strCache>
                <c:ptCount val="1"/>
                <c:pt idx="0">
                  <c:v>0,1% conso UE</c:v>
                </c:pt>
              </c:strCache>
            </c:strRef>
          </c:tx>
          <c:spPr>
            <a:ln w="28575" cap="rnd">
              <a:solidFill>
                <a:schemeClr val="tx1"/>
              </a:solidFill>
              <a:prstDash val="sysDot"/>
              <a:round/>
            </a:ln>
            <a:effectLst/>
          </c:spPr>
          <c:marker>
            <c:symbol val="none"/>
          </c:marker>
          <c:cat>
            <c:strRef>
              <c:f>'Viande porcine'!$E$124:$AF$124</c:f>
              <c:strCache>
                <c:ptCount val="28"/>
                <c:pt idx="0">
                  <c:v>2014 - T1</c:v>
                </c:pt>
                <c:pt idx="1">
                  <c:v>2014 - T2</c:v>
                </c:pt>
                <c:pt idx="2">
                  <c:v>2014 - T3</c:v>
                </c:pt>
                <c:pt idx="3">
                  <c:v>2014 - T4</c:v>
                </c:pt>
                <c:pt idx="4">
                  <c:v>2015 - T1</c:v>
                </c:pt>
                <c:pt idx="5">
                  <c:v>2015 - T2</c:v>
                </c:pt>
                <c:pt idx="6">
                  <c:v>2015 - T3</c:v>
                </c:pt>
                <c:pt idx="7">
                  <c:v>2015 - T4</c:v>
                </c:pt>
                <c:pt idx="8">
                  <c:v>2016 - T1</c:v>
                </c:pt>
                <c:pt idx="9">
                  <c:v>2016 - T2</c:v>
                </c:pt>
                <c:pt idx="10">
                  <c:v>2016 - T3</c:v>
                </c:pt>
                <c:pt idx="11">
                  <c:v>2016 - T4</c:v>
                </c:pt>
                <c:pt idx="12">
                  <c:v>2017 - T1</c:v>
                </c:pt>
                <c:pt idx="13">
                  <c:v>2017 - T2</c:v>
                </c:pt>
                <c:pt idx="14">
                  <c:v>2017 - T3</c:v>
                </c:pt>
                <c:pt idx="15">
                  <c:v>2017 - T4</c:v>
                </c:pt>
                <c:pt idx="16">
                  <c:v>2018 - T1</c:v>
                </c:pt>
                <c:pt idx="17">
                  <c:v>2018 - T2</c:v>
                </c:pt>
                <c:pt idx="18">
                  <c:v>2018 - T3</c:v>
                </c:pt>
                <c:pt idx="19">
                  <c:v>2018 - T4</c:v>
                </c:pt>
                <c:pt idx="20">
                  <c:v>2019 - T1</c:v>
                </c:pt>
                <c:pt idx="21">
                  <c:v>2019 - T2</c:v>
                </c:pt>
                <c:pt idx="22">
                  <c:v>2019 - T3</c:v>
                </c:pt>
                <c:pt idx="23">
                  <c:v>2019 - T4</c:v>
                </c:pt>
                <c:pt idx="24">
                  <c:v>2020 - T1</c:v>
                </c:pt>
                <c:pt idx="25">
                  <c:v>2020 - T2</c:v>
                </c:pt>
                <c:pt idx="26">
                  <c:v>2020 - T3</c:v>
                </c:pt>
                <c:pt idx="27">
                  <c:v>2020 - T4</c:v>
                </c:pt>
              </c:strCache>
            </c:strRef>
          </c:cat>
          <c:val>
            <c:numRef>
              <c:f>'Viande porcine'!$E$127:$AF$127</c:f>
              <c:numCache>
                <c:formatCode>#,##0</c:formatCode>
                <c:ptCount val="28"/>
                <c:pt idx="0">
                  <c:v>5217.6699374999989</c:v>
                </c:pt>
                <c:pt idx="1">
                  <c:v>5217.6699374999989</c:v>
                </c:pt>
                <c:pt idx="2">
                  <c:v>5217.6699374999989</c:v>
                </c:pt>
                <c:pt idx="3">
                  <c:v>5217.6699374999989</c:v>
                </c:pt>
                <c:pt idx="4">
                  <c:v>5174.9576275000009</c:v>
                </c:pt>
                <c:pt idx="5">
                  <c:v>5174.9576275000009</c:v>
                </c:pt>
                <c:pt idx="6">
                  <c:v>5174.9576275000009</c:v>
                </c:pt>
                <c:pt idx="7">
                  <c:v>5174.9576275000009</c:v>
                </c:pt>
                <c:pt idx="8">
                  <c:v>5165.4201200000025</c:v>
                </c:pt>
                <c:pt idx="9">
                  <c:v>5165.4201200000025</c:v>
                </c:pt>
                <c:pt idx="10">
                  <c:v>5165.4201200000025</c:v>
                </c:pt>
                <c:pt idx="11">
                  <c:v>5165.4201200000025</c:v>
                </c:pt>
                <c:pt idx="12">
                  <c:v>5143.5577199999998</c:v>
                </c:pt>
                <c:pt idx="13">
                  <c:v>5143.5577199999998</c:v>
                </c:pt>
                <c:pt idx="14">
                  <c:v>5143.5577199999998</c:v>
                </c:pt>
                <c:pt idx="15">
                  <c:v>5143.5577199999998</c:v>
                </c:pt>
                <c:pt idx="16">
                  <c:v>5171.25</c:v>
                </c:pt>
                <c:pt idx="17">
                  <c:v>5171.25</c:v>
                </c:pt>
                <c:pt idx="18">
                  <c:v>5171.25</c:v>
                </c:pt>
                <c:pt idx="19">
                  <c:v>5171.25</c:v>
                </c:pt>
                <c:pt idx="20">
                  <c:v>5041.5</c:v>
                </c:pt>
                <c:pt idx="21">
                  <c:v>5041.5</c:v>
                </c:pt>
                <c:pt idx="22">
                  <c:v>5041.5</c:v>
                </c:pt>
                <c:pt idx="23">
                  <c:v>5041.5</c:v>
                </c:pt>
                <c:pt idx="24">
                  <c:v>4948</c:v>
                </c:pt>
                <c:pt idx="25">
                  <c:v>4948</c:v>
                </c:pt>
                <c:pt idx="26">
                  <c:v>4948</c:v>
                </c:pt>
                <c:pt idx="27">
                  <c:v>4948</c:v>
                </c:pt>
              </c:numCache>
            </c:numRef>
          </c:val>
          <c:smooth val="0"/>
          <c:extLst xmlns:c16r2="http://schemas.microsoft.com/office/drawing/2015/06/chart">
            <c:ext xmlns:c16="http://schemas.microsoft.com/office/drawing/2014/chart" uri="{C3380CC4-5D6E-409C-BE32-E72D297353CC}">
              <c16:uniqueId val="{00000002-9A78-4106-98E6-A46BACE02552}"/>
            </c:ext>
          </c:extLst>
        </c:ser>
        <c:dLbls>
          <c:showLegendKey val="0"/>
          <c:showVal val="0"/>
          <c:showCatName val="0"/>
          <c:showSerName val="0"/>
          <c:showPercent val="0"/>
          <c:showBubbleSize val="0"/>
        </c:dLbls>
        <c:marker val="1"/>
        <c:smooth val="0"/>
        <c:axId val="185412352"/>
        <c:axId val="185417448"/>
      </c:lineChart>
      <c:catAx>
        <c:axId val="1854123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85417448"/>
        <c:crosses val="autoZero"/>
        <c:auto val="1"/>
        <c:lblAlgn val="ctr"/>
        <c:lblOffset val="100"/>
        <c:tickMarkSkip val="4"/>
        <c:noMultiLvlLbl val="0"/>
      </c:catAx>
      <c:valAx>
        <c:axId val="185417448"/>
        <c:scaling>
          <c:orientation val="minMax"/>
          <c:max val="12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85412352"/>
        <c:crosses val="autoZero"/>
        <c:crossBetween val="between"/>
      </c:valAx>
      <c:spPr>
        <a:noFill/>
        <a:ln>
          <a:noFill/>
        </a:ln>
        <a:effectLst/>
      </c:spPr>
    </c:plotArea>
    <c:legend>
      <c:legendPos val="b"/>
      <c:legendEntry>
        <c:idx val="2"/>
        <c:delete val="1"/>
      </c:legendEntry>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fr-FR" sz="1000"/>
              <a:t>Flux</a:t>
            </a:r>
            <a:r>
              <a:rPr lang="fr-FR" sz="1000" baseline="0"/>
              <a:t> annuels UE-Canada (M€)</a:t>
            </a:r>
            <a:endParaRPr lang="fr-FR"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lineMarker"/>
        <c:varyColors val="0"/>
        <c:ser>
          <c:idx val="0"/>
          <c:order val="0"/>
          <c:tx>
            <c:v>Exp.</c:v>
          </c:tx>
          <c:spPr>
            <a:ln w="19050" cap="rnd">
              <a:solidFill>
                <a:schemeClr val="accent1"/>
              </a:solidFill>
              <a:round/>
            </a:ln>
            <a:effectLst/>
          </c:spPr>
          <c:marker>
            <c:symbol val="none"/>
          </c:marker>
          <c:xVal>
            <c:numRef>
              <c:f>'Viande de volaille'!$E$41:$K$41</c:f>
              <c:numCache>
                <c:formatCode>General</c:formatCode>
                <c:ptCount val="7"/>
                <c:pt idx="0">
                  <c:v>2014</c:v>
                </c:pt>
                <c:pt idx="1">
                  <c:v>2015</c:v>
                </c:pt>
                <c:pt idx="2">
                  <c:v>2016</c:v>
                </c:pt>
                <c:pt idx="3">
                  <c:v>2017</c:v>
                </c:pt>
                <c:pt idx="4">
                  <c:v>2018</c:v>
                </c:pt>
                <c:pt idx="5">
                  <c:v>2019</c:v>
                </c:pt>
                <c:pt idx="6">
                  <c:v>2020</c:v>
                </c:pt>
              </c:numCache>
            </c:numRef>
          </c:xVal>
          <c:yVal>
            <c:numRef>
              <c:f>'Viande de volaille'!$E$48:$K$48</c:f>
              <c:numCache>
                <c:formatCode>#,##0</c:formatCode>
                <c:ptCount val="7"/>
                <c:pt idx="0">
                  <c:v>5.266184</c:v>
                </c:pt>
                <c:pt idx="1">
                  <c:v>7.9501750000000007</c:v>
                </c:pt>
                <c:pt idx="2">
                  <c:v>11.613446</c:v>
                </c:pt>
                <c:pt idx="3">
                  <c:v>12.243912000000002</c:v>
                </c:pt>
                <c:pt idx="4">
                  <c:v>17.181985000000001</c:v>
                </c:pt>
                <c:pt idx="5">
                  <c:v>16.300151999999997</c:v>
                </c:pt>
                <c:pt idx="6">
                  <c:v>10.819956999999999</c:v>
                </c:pt>
              </c:numCache>
            </c:numRef>
          </c:yVal>
          <c:smooth val="0"/>
          <c:extLst xmlns:c16r2="http://schemas.microsoft.com/office/drawing/2015/06/chart">
            <c:ext xmlns:c16="http://schemas.microsoft.com/office/drawing/2014/chart" uri="{C3380CC4-5D6E-409C-BE32-E72D297353CC}">
              <c16:uniqueId val="{00000000-248D-4DDD-B373-AB7EDC5B4534}"/>
            </c:ext>
          </c:extLst>
        </c:ser>
        <c:ser>
          <c:idx val="1"/>
          <c:order val="1"/>
          <c:tx>
            <c:v>Imp.</c:v>
          </c:tx>
          <c:spPr>
            <a:ln w="19050" cap="rnd">
              <a:solidFill>
                <a:schemeClr val="accent2"/>
              </a:solidFill>
              <a:round/>
            </a:ln>
            <a:effectLst/>
          </c:spPr>
          <c:marker>
            <c:symbol val="none"/>
          </c:marker>
          <c:xVal>
            <c:numRef>
              <c:f>'Viande de volaille'!$E$41:$K$41</c:f>
              <c:numCache>
                <c:formatCode>General</c:formatCode>
                <c:ptCount val="7"/>
                <c:pt idx="0">
                  <c:v>2014</c:v>
                </c:pt>
                <c:pt idx="1">
                  <c:v>2015</c:v>
                </c:pt>
                <c:pt idx="2">
                  <c:v>2016</c:v>
                </c:pt>
                <c:pt idx="3">
                  <c:v>2017</c:v>
                </c:pt>
                <c:pt idx="4">
                  <c:v>2018</c:v>
                </c:pt>
                <c:pt idx="5">
                  <c:v>2019</c:v>
                </c:pt>
                <c:pt idx="6">
                  <c:v>2020</c:v>
                </c:pt>
              </c:numCache>
            </c:numRef>
          </c:xVal>
          <c:yVal>
            <c:numRef>
              <c:f>'Viande de volaille'!$E$49:$K$49</c:f>
              <c:numCache>
                <c:formatCode>#,##0</c:formatCode>
                <c:ptCount val="7"/>
                <c:pt idx="0">
                  <c:v>0.22958799999999999</c:v>
                </c:pt>
                <c:pt idx="1">
                  <c:v>0.17247499999999999</c:v>
                </c:pt>
                <c:pt idx="2">
                  <c:v>2.7227000000000001E-2</c:v>
                </c:pt>
                <c:pt idx="3">
                  <c:v>0.142905</c:v>
                </c:pt>
                <c:pt idx="4">
                  <c:v>3.6955000000000002E-2</c:v>
                </c:pt>
                <c:pt idx="5">
                  <c:v>4.9757999999999997E-2</c:v>
                </c:pt>
                <c:pt idx="6">
                  <c:v>0.15746099999999999</c:v>
                </c:pt>
              </c:numCache>
            </c:numRef>
          </c:yVal>
          <c:smooth val="0"/>
          <c:extLst xmlns:c16r2="http://schemas.microsoft.com/office/drawing/2015/06/chart">
            <c:ext xmlns:c16="http://schemas.microsoft.com/office/drawing/2014/chart" uri="{C3380CC4-5D6E-409C-BE32-E72D297353CC}">
              <c16:uniqueId val="{00000001-248D-4DDD-B373-AB7EDC5B4534}"/>
            </c:ext>
          </c:extLst>
        </c:ser>
        <c:ser>
          <c:idx val="2"/>
          <c:order val="2"/>
          <c:spPr>
            <a:ln w="19050" cap="rnd">
              <a:solidFill>
                <a:schemeClr val="tx1"/>
              </a:solidFill>
              <a:prstDash val="sysDash"/>
              <a:round/>
            </a:ln>
            <a:effectLst/>
          </c:spPr>
          <c:marker>
            <c:symbol val="none"/>
          </c:marker>
          <c:xVal>
            <c:numRef>
              <c:f>'Viande de volaille'!$E$41:$K$41</c:f>
              <c:numCache>
                <c:formatCode>General</c:formatCode>
                <c:ptCount val="7"/>
                <c:pt idx="0">
                  <c:v>2014</c:v>
                </c:pt>
                <c:pt idx="1">
                  <c:v>2015</c:v>
                </c:pt>
                <c:pt idx="2">
                  <c:v>2016</c:v>
                </c:pt>
                <c:pt idx="3">
                  <c:v>2017</c:v>
                </c:pt>
                <c:pt idx="4">
                  <c:v>2018</c:v>
                </c:pt>
                <c:pt idx="5">
                  <c:v>2019</c:v>
                </c:pt>
                <c:pt idx="6">
                  <c:v>2020</c:v>
                </c:pt>
              </c:numCache>
            </c:numRef>
          </c:xVal>
          <c:yVal>
            <c:numRef>
              <c:f>'Viande de volaille'!$E$52:$K$52</c:f>
              <c:numCache>
                <c:formatCode>#,##0</c:formatCode>
                <c:ptCount val="7"/>
                <c:pt idx="0">
                  <c:v>34.587113119999998</c:v>
                </c:pt>
                <c:pt idx="1">
                  <c:v>33.766031369000004</c:v>
                </c:pt>
                <c:pt idx="2">
                  <c:v>33.831477104000008</c:v>
                </c:pt>
                <c:pt idx="3">
                  <c:v>33.318723618000007</c:v>
                </c:pt>
                <c:pt idx="4">
                  <c:v>34.156974999999996</c:v>
                </c:pt>
                <c:pt idx="5">
                  <c:v>34.156974999999996</c:v>
                </c:pt>
                <c:pt idx="6">
                  <c:v>34.156974999999996</c:v>
                </c:pt>
              </c:numCache>
            </c:numRef>
          </c:yVal>
          <c:smooth val="0"/>
          <c:extLst xmlns:c16r2="http://schemas.microsoft.com/office/drawing/2015/06/chart">
            <c:ext xmlns:c16="http://schemas.microsoft.com/office/drawing/2014/chart" uri="{C3380CC4-5D6E-409C-BE32-E72D297353CC}">
              <c16:uniqueId val="{00000002-248D-4DDD-B373-AB7EDC5B4534}"/>
            </c:ext>
          </c:extLst>
        </c:ser>
        <c:dLbls>
          <c:showLegendKey val="0"/>
          <c:showVal val="0"/>
          <c:showCatName val="0"/>
          <c:showSerName val="0"/>
          <c:showPercent val="0"/>
          <c:showBubbleSize val="0"/>
        </c:dLbls>
        <c:axId val="185413920"/>
        <c:axId val="185414312"/>
      </c:scatterChart>
      <c:valAx>
        <c:axId val="185413920"/>
        <c:scaling>
          <c:orientation val="minMax"/>
          <c:max val="2020"/>
          <c:min val="201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85414312"/>
        <c:crosses val="autoZero"/>
        <c:crossBetween val="midCat"/>
        <c:majorUnit val="1"/>
      </c:valAx>
      <c:valAx>
        <c:axId val="185414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85413920"/>
        <c:crosses val="autoZero"/>
        <c:crossBetween val="midCat"/>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fr-FR" sz="1000"/>
              <a:t>Flux trimestriels UE-Canada: sucre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fr-FR"/>
        </a:p>
      </c:txPr>
    </c:title>
    <c:autoTitleDeleted val="0"/>
    <c:plotArea>
      <c:layout/>
      <c:scatterChart>
        <c:scatterStyle val="lineMarker"/>
        <c:varyColors val="0"/>
        <c:ser>
          <c:idx val="0"/>
          <c:order val="0"/>
          <c:tx>
            <c:v>Exp. sucre</c:v>
          </c:tx>
          <c:spPr>
            <a:ln w="28575" cap="rnd">
              <a:solidFill>
                <a:schemeClr val="accent1">
                  <a:lumMod val="50000"/>
                </a:schemeClr>
              </a:solidFill>
              <a:prstDash val="solid"/>
              <a:round/>
            </a:ln>
            <a:effectLst/>
          </c:spPr>
          <c:marker>
            <c:symbol val="none"/>
          </c:marker>
          <c:xVal>
            <c:numRef>
              <c:f>Sucre!$E$49:$AF$49</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Sucre!$E$51:$AF$51</c:f>
              <c:numCache>
                <c:formatCode>#,##0</c:formatCode>
                <c:ptCount val="28"/>
                <c:pt idx="0">
                  <c:v>0.53376699999999999</c:v>
                </c:pt>
                <c:pt idx="1">
                  <c:v>0.75135000000000007</c:v>
                </c:pt>
                <c:pt idx="2">
                  <c:v>0.707121</c:v>
                </c:pt>
                <c:pt idx="3">
                  <c:v>0.94399999999999995</c:v>
                </c:pt>
                <c:pt idx="4">
                  <c:v>0.55667500000000003</c:v>
                </c:pt>
                <c:pt idx="5">
                  <c:v>0.53101599999999993</c:v>
                </c:pt>
                <c:pt idx="6">
                  <c:v>0.66300099999999995</c:v>
                </c:pt>
                <c:pt idx="7">
                  <c:v>0.64666800000000002</c:v>
                </c:pt>
                <c:pt idx="8">
                  <c:v>0.60264800000000007</c:v>
                </c:pt>
                <c:pt idx="9">
                  <c:v>0.59382000000000001</c:v>
                </c:pt>
                <c:pt idx="10">
                  <c:v>1.4019680000000001</c:v>
                </c:pt>
                <c:pt idx="11">
                  <c:v>1.087674</c:v>
                </c:pt>
                <c:pt idx="12">
                  <c:v>1.122452</c:v>
                </c:pt>
                <c:pt idx="13">
                  <c:v>1.2400329999999999</c:v>
                </c:pt>
                <c:pt idx="14">
                  <c:v>1.1633249999999999</c:v>
                </c:pt>
                <c:pt idx="15">
                  <c:v>0.9978260000000001</c:v>
                </c:pt>
                <c:pt idx="16">
                  <c:v>1.164431</c:v>
                </c:pt>
                <c:pt idx="17">
                  <c:v>1.3558239999999999</c:v>
                </c:pt>
                <c:pt idx="18">
                  <c:v>1.2088000000000001</c:v>
                </c:pt>
                <c:pt idx="19">
                  <c:v>1.104312</c:v>
                </c:pt>
                <c:pt idx="20">
                  <c:v>1.3285400000000001</c:v>
                </c:pt>
                <c:pt idx="21">
                  <c:v>1.4395</c:v>
                </c:pt>
                <c:pt idx="22">
                  <c:v>1.1870240000000001</c:v>
                </c:pt>
                <c:pt idx="23">
                  <c:v>1.0008429999999999</c:v>
                </c:pt>
                <c:pt idx="24">
                  <c:v>1.3469879999999999</c:v>
                </c:pt>
                <c:pt idx="25">
                  <c:v>1.287833</c:v>
                </c:pt>
                <c:pt idx="26">
                  <c:v>0.98662099999999997</c:v>
                </c:pt>
                <c:pt idx="27">
                  <c:v>1.2155100000000001</c:v>
                </c:pt>
              </c:numCache>
            </c:numRef>
          </c:yVal>
          <c:smooth val="0"/>
          <c:extLst xmlns:c16r2="http://schemas.microsoft.com/office/drawing/2015/06/chart">
            <c:ext xmlns:c16="http://schemas.microsoft.com/office/drawing/2014/chart" uri="{C3380CC4-5D6E-409C-BE32-E72D297353CC}">
              <c16:uniqueId val="{00000000-768A-4E1C-B9C5-6EF20ED974CF}"/>
            </c:ext>
          </c:extLst>
        </c:ser>
        <c:ser>
          <c:idx val="2"/>
          <c:order val="2"/>
          <c:tx>
            <c:v>Imp. sucre</c:v>
          </c:tx>
          <c:spPr>
            <a:ln w="28575" cap="rnd">
              <a:solidFill>
                <a:schemeClr val="accent2"/>
              </a:solidFill>
              <a:prstDash val="solid"/>
              <a:round/>
            </a:ln>
            <a:effectLst/>
          </c:spPr>
          <c:marker>
            <c:symbol val="none"/>
          </c:marker>
          <c:xVal>
            <c:numRef>
              <c:f>Sucre!$E$49:$AF$49</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Sucre!$E$53:$AF$53</c:f>
              <c:numCache>
                <c:formatCode>#,##0</c:formatCode>
                <c:ptCount val="28"/>
                <c:pt idx="0">
                  <c:v>7.5159590000000005</c:v>
                </c:pt>
                <c:pt idx="1">
                  <c:v>8.7049679999999992</c:v>
                </c:pt>
                <c:pt idx="2">
                  <c:v>8.5265719999999998</c:v>
                </c:pt>
                <c:pt idx="3">
                  <c:v>10.680866</c:v>
                </c:pt>
                <c:pt idx="4">
                  <c:v>7.8453229999999996</c:v>
                </c:pt>
                <c:pt idx="5">
                  <c:v>11.943586</c:v>
                </c:pt>
                <c:pt idx="6">
                  <c:v>9.5311059999999994</c:v>
                </c:pt>
                <c:pt idx="7">
                  <c:v>11.12039</c:v>
                </c:pt>
                <c:pt idx="8">
                  <c:v>9.1854410000000009</c:v>
                </c:pt>
                <c:pt idx="9">
                  <c:v>13.112024999999999</c:v>
                </c:pt>
                <c:pt idx="10">
                  <c:v>12.329526999999999</c:v>
                </c:pt>
                <c:pt idx="11">
                  <c:v>12.520176000000001</c:v>
                </c:pt>
                <c:pt idx="12">
                  <c:v>11.252056999999999</c:v>
                </c:pt>
                <c:pt idx="13">
                  <c:v>11.083580000000001</c:v>
                </c:pt>
                <c:pt idx="14">
                  <c:v>12.558739000000001</c:v>
                </c:pt>
                <c:pt idx="15">
                  <c:v>15.096890999999999</c:v>
                </c:pt>
                <c:pt idx="16">
                  <c:v>10.430026</c:v>
                </c:pt>
                <c:pt idx="17">
                  <c:v>11.194564</c:v>
                </c:pt>
                <c:pt idx="18">
                  <c:v>9.1386269999999996</c:v>
                </c:pt>
                <c:pt idx="19">
                  <c:v>10.197734000000001</c:v>
                </c:pt>
                <c:pt idx="20">
                  <c:v>14.684445</c:v>
                </c:pt>
                <c:pt idx="21">
                  <c:v>13.222514</c:v>
                </c:pt>
                <c:pt idx="22">
                  <c:v>12.443442000000001</c:v>
                </c:pt>
                <c:pt idx="23">
                  <c:v>15.696332</c:v>
                </c:pt>
                <c:pt idx="24">
                  <c:v>17.027166999999999</c:v>
                </c:pt>
                <c:pt idx="25">
                  <c:v>17.375846999999997</c:v>
                </c:pt>
                <c:pt idx="26">
                  <c:v>15.973789999999999</c:v>
                </c:pt>
                <c:pt idx="27">
                  <c:v>20.525383000000001</c:v>
                </c:pt>
              </c:numCache>
            </c:numRef>
          </c:yVal>
          <c:smooth val="0"/>
          <c:extLst xmlns:c16r2="http://schemas.microsoft.com/office/drawing/2015/06/chart">
            <c:ext xmlns:c16="http://schemas.microsoft.com/office/drawing/2014/chart" uri="{C3380CC4-5D6E-409C-BE32-E72D297353CC}">
              <c16:uniqueId val="{00000001-768A-4E1C-B9C5-6EF20ED974CF}"/>
            </c:ext>
          </c:extLst>
        </c:ser>
        <c:ser>
          <c:idx val="4"/>
          <c:order val="4"/>
          <c:tx>
            <c:v>5% consommation UE</c:v>
          </c:tx>
          <c:spPr>
            <a:ln w="12700" cap="rnd">
              <a:solidFill>
                <a:schemeClr val="tx1"/>
              </a:solidFill>
              <a:prstDash val="sysDash"/>
              <a:round/>
            </a:ln>
            <a:effectLst/>
          </c:spPr>
          <c:marker>
            <c:symbol val="none"/>
          </c:marker>
          <c:xVal>
            <c:numRef>
              <c:f>Sucre!$E$49:$AF$49</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Sucre!$E$56:$AF$56</c:f>
              <c:numCache>
                <c:formatCode>#,##0</c:formatCode>
                <c:ptCount val="28"/>
                <c:pt idx="0">
                  <c:v>129.15222449999999</c:v>
                </c:pt>
                <c:pt idx="1">
                  <c:v>129.15222449999999</c:v>
                </c:pt>
                <c:pt idx="2">
                  <c:v>129.15222449999999</c:v>
                </c:pt>
                <c:pt idx="3">
                  <c:v>129.15222449999999</c:v>
                </c:pt>
                <c:pt idx="4">
                  <c:v>95.161773750000009</c:v>
                </c:pt>
                <c:pt idx="5">
                  <c:v>95.161773750000009</c:v>
                </c:pt>
                <c:pt idx="6">
                  <c:v>95.161773750000009</c:v>
                </c:pt>
                <c:pt idx="7">
                  <c:v>95.161773750000009</c:v>
                </c:pt>
                <c:pt idx="8">
                  <c:v>92.560652500000003</c:v>
                </c:pt>
                <c:pt idx="9">
                  <c:v>92.560652500000003</c:v>
                </c:pt>
                <c:pt idx="10">
                  <c:v>92.560652500000003</c:v>
                </c:pt>
                <c:pt idx="11">
                  <c:v>92.560652500000003</c:v>
                </c:pt>
                <c:pt idx="12">
                  <c:v>99.771209999999996</c:v>
                </c:pt>
                <c:pt idx="13">
                  <c:v>99.771209999999996</c:v>
                </c:pt>
                <c:pt idx="14">
                  <c:v>99.771209999999996</c:v>
                </c:pt>
                <c:pt idx="15">
                  <c:v>99.771209999999996</c:v>
                </c:pt>
                <c:pt idx="16">
                  <c:v>82.959062500000016</c:v>
                </c:pt>
                <c:pt idx="17">
                  <c:v>82.959062500000016</c:v>
                </c:pt>
                <c:pt idx="18">
                  <c:v>82.959062500000016</c:v>
                </c:pt>
                <c:pt idx="19">
                  <c:v>82.959062500000016</c:v>
                </c:pt>
                <c:pt idx="20">
                  <c:v>69.689374999999998</c:v>
                </c:pt>
                <c:pt idx="21">
                  <c:v>69.689374999999998</c:v>
                </c:pt>
                <c:pt idx="22">
                  <c:v>69.689374999999998</c:v>
                </c:pt>
                <c:pt idx="23">
                  <c:v>69.689374999999998</c:v>
                </c:pt>
                <c:pt idx="24">
                  <c:v>67.61055300000001</c:v>
                </c:pt>
                <c:pt idx="25">
                  <c:v>67.61055300000001</c:v>
                </c:pt>
                <c:pt idx="26">
                  <c:v>67.61055300000001</c:v>
                </c:pt>
                <c:pt idx="27">
                  <c:v>67.61055300000001</c:v>
                </c:pt>
              </c:numCache>
            </c:numRef>
          </c:yVal>
          <c:smooth val="0"/>
          <c:extLst xmlns:c16r2="http://schemas.microsoft.com/office/drawing/2015/06/chart">
            <c:ext xmlns:c16="http://schemas.microsoft.com/office/drawing/2014/chart" uri="{C3380CC4-5D6E-409C-BE32-E72D297353CC}">
              <c16:uniqueId val="{00000002-768A-4E1C-B9C5-6EF20ED974CF}"/>
            </c:ext>
          </c:extLst>
        </c:ser>
        <c:dLbls>
          <c:showLegendKey val="0"/>
          <c:showVal val="0"/>
          <c:showCatName val="0"/>
          <c:showSerName val="0"/>
          <c:showPercent val="0"/>
          <c:showBubbleSize val="0"/>
        </c:dLbls>
        <c:axId val="185416664"/>
        <c:axId val="185414704"/>
        <c:extLst xmlns:c16r2="http://schemas.microsoft.com/office/drawing/2015/06/chart">
          <c:ext xmlns:c15="http://schemas.microsoft.com/office/drawing/2012/chart" uri="{02D57815-91ED-43cb-92C2-25804820EDAC}">
            <c15:filteredScatterSeries>
              <c15:ser>
                <c:idx val="1"/>
                <c:order val="1"/>
                <c:tx>
                  <c:v>Exp. produits sucrés</c:v>
                </c:tx>
                <c:spPr>
                  <a:ln w="28575" cap="rnd">
                    <a:solidFill>
                      <a:schemeClr val="accent1">
                        <a:lumMod val="50000"/>
                      </a:schemeClr>
                    </a:solidFill>
                    <a:prstDash val="solid"/>
                    <a:round/>
                  </a:ln>
                  <a:effectLst/>
                </c:spPr>
                <c:marker>
                  <c:symbol val="none"/>
                </c:marker>
                <c:xVal>
                  <c:numRef>
                    <c:extLst xmlns:c16r2="http://schemas.microsoft.com/office/drawing/2015/06/chart">
                      <c:ext uri="{02D57815-91ED-43cb-92C2-25804820EDAC}">
                        <c15:formulaRef>
                          <c15:sqref>Sucre!$E$49:$X$49</c15:sqref>
                        </c15:formulaRef>
                      </c:ext>
                    </c:extLst>
                    <c:numCache>
                      <c:formatCode>General</c:formatCode>
                      <c:ptCount val="20"/>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numCache>
                  </c:numRef>
                </c:xVal>
                <c:yVal>
                  <c:numRef>
                    <c:extLst xmlns:c16r2="http://schemas.microsoft.com/office/drawing/2015/06/chart">
                      <c:ext uri="{02D57815-91ED-43cb-92C2-25804820EDAC}">
                        <c15:formulaRef>
                          <c15:sqref>Sucre!$E$52:$X$52</c15:sqref>
                        </c15:formulaRef>
                      </c:ext>
                    </c:extLst>
                    <c:numCache>
                      <c:formatCode>#,##0</c:formatCode>
                      <c:ptCount val="20"/>
                      <c:pt idx="0">
                        <c:v>46.061748000000001</c:v>
                      </c:pt>
                      <c:pt idx="1">
                        <c:v>48.797933</c:v>
                      </c:pt>
                      <c:pt idx="2">
                        <c:v>82.564875999999998</c:v>
                      </c:pt>
                      <c:pt idx="3">
                        <c:v>63.109830000000002</c:v>
                      </c:pt>
                      <c:pt idx="4">
                        <c:v>46.576255000000003</c:v>
                      </c:pt>
                      <c:pt idx="5">
                        <c:v>50.476515999999997</c:v>
                      </c:pt>
                      <c:pt idx="6">
                        <c:v>87.256074999999996</c:v>
                      </c:pt>
                      <c:pt idx="7">
                        <c:v>65.268088000000006</c:v>
                      </c:pt>
                      <c:pt idx="8">
                        <c:v>53.565870000000004</c:v>
                      </c:pt>
                      <c:pt idx="9">
                        <c:v>57.418731999999999</c:v>
                      </c:pt>
                      <c:pt idx="10">
                        <c:v>101.617406</c:v>
                      </c:pt>
                      <c:pt idx="11">
                        <c:v>68.653396999999998</c:v>
                      </c:pt>
                      <c:pt idx="12">
                        <c:v>57.793923000000007</c:v>
                      </c:pt>
                      <c:pt idx="13">
                        <c:v>61.104633</c:v>
                      </c:pt>
                      <c:pt idx="14">
                        <c:v>104.001502</c:v>
                      </c:pt>
                      <c:pt idx="15">
                        <c:v>77.484972999999997</c:v>
                      </c:pt>
                      <c:pt idx="16">
                        <c:v>62.877090000000003</c:v>
                      </c:pt>
                      <c:pt idx="17">
                        <c:v>67.728942000000004</c:v>
                      </c:pt>
                      <c:pt idx="18">
                        <c:v>111.43394400000001</c:v>
                      </c:pt>
                      <c:pt idx="19">
                        <c:v>75.018175999999997</c:v>
                      </c:pt>
                    </c:numCache>
                  </c:numRef>
                </c:yVal>
                <c:smooth val="0"/>
                <c:extLst xmlns:c16r2="http://schemas.microsoft.com/office/drawing/2015/06/chart">
                  <c:ext xmlns:c16="http://schemas.microsoft.com/office/drawing/2014/chart" uri="{C3380CC4-5D6E-409C-BE32-E72D297353CC}">
                    <c16:uniqueId val="{00000003-768A-4E1C-B9C5-6EF20ED974CF}"/>
                  </c:ext>
                </c:extLst>
              </c15:ser>
            </c15:filteredScatterSeries>
            <c15:filteredScatterSeries>
              <c15:ser>
                <c:idx val="3"/>
                <c:order val="3"/>
                <c:tx>
                  <c:v>Imp. produits sucrés</c:v>
                </c:tx>
                <c:spPr>
                  <a:ln w="28575" cap="rnd">
                    <a:solidFill>
                      <a:schemeClr val="accent2"/>
                    </a:solidFill>
                    <a:prstDash val="solid"/>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Sucre!$E$49:$X$49</c15:sqref>
                        </c15:formulaRef>
                      </c:ext>
                    </c:extLst>
                    <c:numCache>
                      <c:formatCode>General</c:formatCode>
                      <c:ptCount val="20"/>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Sucre!$E$54:$X$54</c15:sqref>
                        </c15:formulaRef>
                      </c:ext>
                    </c:extLst>
                    <c:numCache>
                      <c:formatCode>#,##0</c:formatCode>
                      <c:ptCount val="20"/>
                      <c:pt idx="0">
                        <c:v>8.6422430000000006</c:v>
                      </c:pt>
                      <c:pt idx="1">
                        <c:v>9.5050820000000016</c:v>
                      </c:pt>
                      <c:pt idx="2">
                        <c:v>7.6733200000000004</c:v>
                      </c:pt>
                      <c:pt idx="3">
                        <c:v>7.6231399999999994</c:v>
                      </c:pt>
                      <c:pt idx="4">
                        <c:v>8.4353179999999988</c:v>
                      </c:pt>
                      <c:pt idx="5">
                        <c:v>10.132886000000001</c:v>
                      </c:pt>
                      <c:pt idx="6">
                        <c:v>8.9230839999999993</c:v>
                      </c:pt>
                      <c:pt idx="7">
                        <c:v>8.4462539999999997</c:v>
                      </c:pt>
                      <c:pt idx="8">
                        <c:v>9.7356789999999993</c:v>
                      </c:pt>
                      <c:pt idx="9">
                        <c:v>10.844156</c:v>
                      </c:pt>
                      <c:pt idx="10">
                        <c:v>8.4236159999999991</c:v>
                      </c:pt>
                      <c:pt idx="11">
                        <c:v>8.1301330000000007</c:v>
                      </c:pt>
                      <c:pt idx="12">
                        <c:v>11.171411000000001</c:v>
                      </c:pt>
                      <c:pt idx="13">
                        <c:v>12.633787</c:v>
                      </c:pt>
                      <c:pt idx="14">
                        <c:v>12.491081999999999</c:v>
                      </c:pt>
                      <c:pt idx="15">
                        <c:v>12.791093999999999</c:v>
                      </c:pt>
                      <c:pt idx="16">
                        <c:v>14.681077</c:v>
                      </c:pt>
                      <c:pt idx="17">
                        <c:v>16.020363</c:v>
                      </c:pt>
                      <c:pt idx="18">
                        <c:v>17.608288000000002</c:v>
                      </c:pt>
                      <c:pt idx="19">
                        <c:v>14.718364999999999</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4-768A-4E1C-B9C5-6EF20ED974CF}"/>
                  </c:ext>
                </c:extLst>
              </c15:ser>
            </c15:filteredScatterSeries>
            <c15:filteredScatterSeries>
              <c15:ser>
                <c:idx val="5"/>
                <c:order val="5"/>
                <c:tx>
                  <c:v>Imp. (contingents, base annuelle)</c:v>
                </c:tx>
                <c:spPr>
                  <a:ln w="25400" cap="rnd">
                    <a:noFill/>
                    <a:round/>
                  </a:ln>
                  <a:effectLst/>
                </c:spPr>
                <c:marker>
                  <c:symbol val="circle"/>
                  <c:size val="5"/>
                  <c:spPr>
                    <a:solidFill>
                      <a:srgbClr val="FF0000"/>
                    </a:solidFill>
                    <a:ln w="9525">
                      <a:solidFill>
                        <a:srgbClr val="FF0000"/>
                      </a:solidFill>
                    </a:ln>
                    <a:effectLst/>
                  </c:spPr>
                </c:marker>
                <c:xVal>
                  <c:numRef>
                    <c:extLst xmlns:c16r2="http://schemas.microsoft.com/office/drawing/2015/06/chart" xmlns:c15="http://schemas.microsoft.com/office/drawing/2012/chart">
                      <c:ext xmlns:c15="http://schemas.microsoft.com/office/drawing/2012/chart" uri="{02D57815-91ED-43cb-92C2-25804820EDAC}">
                        <c15:formulaRef>
                          <c15:sqref>Sucre!$E$49:$X$49</c15:sqref>
                        </c15:formulaRef>
                      </c:ext>
                    </c:extLst>
                    <c:numCache>
                      <c:formatCode>General</c:formatCode>
                      <c:ptCount val="20"/>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Sucre!$E$55:$X$55</c15:sqref>
                        </c15:formulaRef>
                      </c:ext>
                    </c:extLst>
                    <c:numCache>
                      <c:formatCode>#,##0</c:formatCode>
                      <c:ptCount val="20"/>
                      <c:pt idx="12">
                        <c:v>0</c:v>
                      </c:pt>
                      <c:pt idx="16">
                        <c:v>7.3879999999999996E-3</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5-768A-4E1C-B9C5-6EF20ED974CF}"/>
                  </c:ext>
                </c:extLst>
              </c15:ser>
            </c15:filteredScatterSeries>
          </c:ext>
        </c:extLst>
      </c:scatterChart>
      <c:valAx>
        <c:axId val="185416664"/>
        <c:scaling>
          <c:orientation val="minMax"/>
          <c:max val="2021"/>
          <c:min val="201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dk1"/>
                </a:solidFill>
                <a:latin typeface="+mn-lt"/>
                <a:ea typeface="+mn-ea"/>
                <a:cs typeface="+mn-cs"/>
              </a:defRPr>
            </a:pPr>
            <a:endParaRPr lang="fr-FR"/>
          </a:p>
        </c:txPr>
        <c:crossAx val="185414704"/>
        <c:crosses val="autoZero"/>
        <c:crossBetween val="midCat"/>
        <c:majorUnit val="1"/>
      </c:valAx>
      <c:valAx>
        <c:axId val="185414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dk1"/>
                </a:solidFill>
                <a:latin typeface="+mn-lt"/>
                <a:ea typeface="+mn-ea"/>
                <a:cs typeface="+mn-cs"/>
              </a:defRPr>
            </a:pPr>
            <a:endParaRPr lang="fr-FR"/>
          </a:p>
        </c:txPr>
        <c:crossAx val="185416664"/>
        <c:crosses val="autoZero"/>
        <c:crossBetween val="midCat"/>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700" b="0" i="0" u="none" strike="noStrike" kern="1200" baseline="0">
              <a:solidFill>
                <a:schemeClr val="dk1"/>
              </a:solidFill>
              <a:latin typeface="+mn-lt"/>
              <a:ea typeface="+mn-ea"/>
              <a:cs typeface="+mn-cs"/>
            </a:defRPr>
          </a:pPr>
          <a:endParaRPr lang="fr-FR"/>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fr-FR" sz="1000"/>
              <a:t>Flux trimestriels UE-Canada: produits sucrés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fr-FR"/>
        </a:p>
      </c:txPr>
    </c:title>
    <c:autoTitleDeleted val="0"/>
    <c:plotArea>
      <c:layout/>
      <c:scatterChart>
        <c:scatterStyle val="lineMarker"/>
        <c:varyColors val="0"/>
        <c:ser>
          <c:idx val="1"/>
          <c:order val="1"/>
          <c:tx>
            <c:v>Exp. produits sucrés</c:v>
          </c:tx>
          <c:spPr>
            <a:ln w="28575" cap="rnd">
              <a:solidFill>
                <a:schemeClr val="accent1">
                  <a:lumMod val="50000"/>
                </a:schemeClr>
              </a:solidFill>
              <a:prstDash val="solid"/>
              <a:round/>
            </a:ln>
            <a:effectLst/>
          </c:spPr>
          <c:marker>
            <c:symbol val="none"/>
          </c:marker>
          <c:xVal>
            <c:numRef>
              <c:f>Sucre!$E$49:$AF$49</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Sucre!$E$52:$AF$52</c:f>
              <c:numCache>
                <c:formatCode>#,##0</c:formatCode>
                <c:ptCount val="28"/>
                <c:pt idx="0">
                  <c:v>46.061748000000001</c:v>
                </c:pt>
                <c:pt idx="1">
                  <c:v>48.797933</c:v>
                </c:pt>
                <c:pt idx="2">
                  <c:v>82.564875999999998</c:v>
                </c:pt>
                <c:pt idx="3">
                  <c:v>63.109830000000002</c:v>
                </c:pt>
                <c:pt idx="4">
                  <c:v>46.576255000000003</c:v>
                </c:pt>
                <c:pt idx="5">
                  <c:v>50.476515999999997</c:v>
                </c:pt>
                <c:pt idx="6">
                  <c:v>87.256074999999996</c:v>
                </c:pt>
                <c:pt idx="7">
                  <c:v>65.268088000000006</c:v>
                </c:pt>
                <c:pt idx="8">
                  <c:v>53.565870000000004</c:v>
                </c:pt>
                <c:pt idx="9">
                  <c:v>57.418731999999999</c:v>
                </c:pt>
                <c:pt idx="10">
                  <c:v>101.617406</c:v>
                </c:pt>
                <c:pt idx="11">
                  <c:v>68.653396999999998</c:v>
                </c:pt>
                <c:pt idx="12">
                  <c:v>57.793923000000007</c:v>
                </c:pt>
                <c:pt idx="13">
                  <c:v>61.104633</c:v>
                </c:pt>
                <c:pt idx="14">
                  <c:v>104.001502</c:v>
                </c:pt>
                <c:pt idx="15">
                  <c:v>77.484972999999997</c:v>
                </c:pt>
                <c:pt idx="16">
                  <c:v>62.877090000000003</c:v>
                </c:pt>
                <c:pt idx="17">
                  <c:v>67.728942000000004</c:v>
                </c:pt>
                <c:pt idx="18">
                  <c:v>111.43394400000001</c:v>
                </c:pt>
                <c:pt idx="19">
                  <c:v>75.018175999999997</c:v>
                </c:pt>
                <c:pt idx="20">
                  <c:v>58.957751000000002</c:v>
                </c:pt>
                <c:pt idx="21">
                  <c:v>69.650516999999994</c:v>
                </c:pt>
                <c:pt idx="22">
                  <c:v>111.80391</c:v>
                </c:pt>
                <c:pt idx="23">
                  <c:v>81.673046999999997</c:v>
                </c:pt>
                <c:pt idx="24">
                  <c:v>64.892277000000007</c:v>
                </c:pt>
                <c:pt idx="25">
                  <c:v>72.483263999999991</c:v>
                </c:pt>
                <c:pt idx="26">
                  <c:v>113.98567399999999</c:v>
                </c:pt>
                <c:pt idx="27">
                  <c:v>88.574549000000005</c:v>
                </c:pt>
              </c:numCache>
            </c:numRef>
          </c:yVal>
          <c:smooth val="0"/>
          <c:extLst xmlns:c16r2="http://schemas.microsoft.com/office/drawing/2015/06/chart">
            <c:ext xmlns:c16="http://schemas.microsoft.com/office/drawing/2014/chart" uri="{C3380CC4-5D6E-409C-BE32-E72D297353CC}">
              <c16:uniqueId val="{00000000-1317-4B7E-881F-B8AF45368A15}"/>
            </c:ext>
          </c:extLst>
        </c:ser>
        <c:ser>
          <c:idx val="3"/>
          <c:order val="3"/>
          <c:tx>
            <c:v>Imp. produits sucrés</c:v>
          </c:tx>
          <c:spPr>
            <a:ln w="28575" cap="rnd">
              <a:solidFill>
                <a:schemeClr val="accent2"/>
              </a:solidFill>
              <a:prstDash val="solid"/>
              <a:round/>
            </a:ln>
            <a:effectLst/>
          </c:spPr>
          <c:marker>
            <c:symbol val="none"/>
          </c:marker>
          <c:xVal>
            <c:numRef>
              <c:f>Sucre!$E$49:$AF$49</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Sucre!$E$54:$AF$54</c:f>
              <c:numCache>
                <c:formatCode>#,##0</c:formatCode>
                <c:ptCount val="28"/>
                <c:pt idx="0">
                  <c:v>8.6422430000000006</c:v>
                </c:pt>
                <c:pt idx="1">
                  <c:v>9.5050820000000016</c:v>
                </c:pt>
                <c:pt idx="2">
                  <c:v>7.6733200000000004</c:v>
                </c:pt>
                <c:pt idx="3">
                  <c:v>7.6231399999999994</c:v>
                </c:pt>
                <c:pt idx="4">
                  <c:v>8.4353179999999988</c:v>
                </c:pt>
                <c:pt idx="5">
                  <c:v>10.132886000000001</c:v>
                </c:pt>
                <c:pt idx="6">
                  <c:v>8.9230839999999993</c:v>
                </c:pt>
                <c:pt idx="7">
                  <c:v>8.4462539999999997</c:v>
                </c:pt>
                <c:pt idx="8">
                  <c:v>9.7356789999999993</c:v>
                </c:pt>
                <c:pt idx="9">
                  <c:v>10.844156</c:v>
                </c:pt>
                <c:pt idx="10">
                  <c:v>8.4236159999999991</c:v>
                </c:pt>
                <c:pt idx="11">
                  <c:v>8.1301330000000007</c:v>
                </c:pt>
                <c:pt idx="12">
                  <c:v>11.171411000000001</c:v>
                </c:pt>
                <c:pt idx="13">
                  <c:v>12.633787</c:v>
                </c:pt>
                <c:pt idx="14">
                  <c:v>12.491081999999999</c:v>
                </c:pt>
                <c:pt idx="15">
                  <c:v>12.791093999999999</c:v>
                </c:pt>
                <c:pt idx="16">
                  <c:v>14.681077</c:v>
                </c:pt>
                <c:pt idx="17">
                  <c:v>16.020363</c:v>
                </c:pt>
                <c:pt idx="18">
                  <c:v>17.608288000000002</c:v>
                </c:pt>
                <c:pt idx="19">
                  <c:v>14.718364999999999</c:v>
                </c:pt>
                <c:pt idx="20">
                  <c:v>14.864748000000001</c:v>
                </c:pt>
                <c:pt idx="21">
                  <c:v>17.369889000000001</c:v>
                </c:pt>
                <c:pt idx="22">
                  <c:v>13.290746</c:v>
                </c:pt>
                <c:pt idx="23">
                  <c:v>14.472360999999999</c:v>
                </c:pt>
                <c:pt idx="24">
                  <c:v>14.585616999999999</c:v>
                </c:pt>
                <c:pt idx="25">
                  <c:v>13.675249000000001</c:v>
                </c:pt>
                <c:pt idx="26">
                  <c:v>13.287957</c:v>
                </c:pt>
                <c:pt idx="27">
                  <c:v>19.528701999999999</c:v>
                </c:pt>
              </c:numCache>
            </c:numRef>
          </c:yVal>
          <c:smooth val="0"/>
          <c:extLst xmlns:c16r2="http://schemas.microsoft.com/office/drawing/2015/06/chart">
            <c:ext xmlns:c16="http://schemas.microsoft.com/office/drawing/2014/chart" uri="{C3380CC4-5D6E-409C-BE32-E72D297353CC}">
              <c16:uniqueId val="{00000001-1317-4B7E-881F-B8AF45368A15}"/>
            </c:ext>
          </c:extLst>
        </c:ser>
        <c:ser>
          <c:idx val="4"/>
          <c:order val="4"/>
          <c:tx>
            <c:v>5% consommation UE</c:v>
          </c:tx>
          <c:spPr>
            <a:ln w="12700" cap="rnd">
              <a:solidFill>
                <a:schemeClr val="tx1"/>
              </a:solidFill>
              <a:prstDash val="sysDash"/>
              <a:round/>
            </a:ln>
            <a:effectLst/>
          </c:spPr>
          <c:marker>
            <c:symbol val="none"/>
          </c:marker>
          <c:xVal>
            <c:numRef>
              <c:f>Sucre!$E$49:$AF$49</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Sucre!$E$56:$AF$56</c:f>
              <c:numCache>
                <c:formatCode>#,##0</c:formatCode>
                <c:ptCount val="28"/>
                <c:pt idx="0">
                  <c:v>129.15222449999999</c:v>
                </c:pt>
                <c:pt idx="1">
                  <c:v>129.15222449999999</c:v>
                </c:pt>
                <c:pt idx="2">
                  <c:v>129.15222449999999</c:v>
                </c:pt>
                <c:pt idx="3">
                  <c:v>129.15222449999999</c:v>
                </c:pt>
                <c:pt idx="4">
                  <c:v>95.161773750000009</c:v>
                </c:pt>
                <c:pt idx="5">
                  <c:v>95.161773750000009</c:v>
                </c:pt>
                <c:pt idx="6">
                  <c:v>95.161773750000009</c:v>
                </c:pt>
                <c:pt idx="7">
                  <c:v>95.161773750000009</c:v>
                </c:pt>
                <c:pt idx="8">
                  <c:v>92.560652500000003</c:v>
                </c:pt>
                <c:pt idx="9">
                  <c:v>92.560652500000003</c:v>
                </c:pt>
                <c:pt idx="10">
                  <c:v>92.560652500000003</c:v>
                </c:pt>
                <c:pt idx="11">
                  <c:v>92.560652500000003</c:v>
                </c:pt>
                <c:pt idx="12">
                  <c:v>99.771209999999996</c:v>
                </c:pt>
                <c:pt idx="13">
                  <c:v>99.771209999999996</c:v>
                </c:pt>
                <c:pt idx="14">
                  <c:v>99.771209999999996</c:v>
                </c:pt>
                <c:pt idx="15">
                  <c:v>99.771209999999996</c:v>
                </c:pt>
                <c:pt idx="16">
                  <c:v>82.959062500000016</c:v>
                </c:pt>
                <c:pt idx="17">
                  <c:v>82.959062500000016</c:v>
                </c:pt>
                <c:pt idx="18">
                  <c:v>82.959062500000016</c:v>
                </c:pt>
                <c:pt idx="19">
                  <c:v>82.959062500000016</c:v>
                </c:pt>
                <c:pt idx="20">
                  <c:v>69.689374999999998</c:v>
                </c:pt>
                <c:pt idx="21">
                  <c:v>69.689374999999998</c:v>
                </c:pt>
                <c:pt idx="22">
                  <c:v>69.689374999999998</c:v>
                </c:pt>
                <c:pt idx="23">
                  <c:v>69.689374999999998</c:v>
                </c:pt>
                <c:pt idx="24">
                  <c:v>67.61055300000001</c:v>
                </c:pt>
                <c:pt idx="25">
                  <c:v>67.61055300000001</c:v>
                </c:pt>
                <c:pt idx="26">
                  <c:v>67.61055300000001</c:v>
                </c:pt>
                <c:pt idx="27">
                  <c:v>67.61055300000001</c:v>
                </c:pt>
              </c:numCache>
            </c:numRef>
          </c:yVal>
          <c:smooth val="0"/>
          <c:extLst xmlns:c16r2="http://schemas.microsoft.com/office/drawing/2015/06/chart">
            <c:ext xmlns:c16="http://schemas.microsoft.com/office/drawing/2014/chart" uri="{C3380CC4-5D6E-409C-BE32-E72D297353CC}">
              <c16:uniqueId val="{00000002-1317-4B7E-881F-B8AF45368A15}"/>
            </c:ext>
          </c:extLst>
        </c:ser>
        <c:ser>
          <c:idx val="5"/>
          <c:order val="5"/>
          <c:tx>
            <c:v>Imp. (contingents, base annuelle)</c:v>
          </c:tx>
          <c:spPr>
            <a:ln w="25400" cap="rnd">
              <a:noFill/>
              <a:round/>
            </a:ln>
            <a:effectLst/>
          </c:spPr>
          <c:marker>
            <c:symbol val="circle"/>
            <c:size val="5"/>
            <c:spPr>
              <a:solidFill>
                <a:srgbClr val="FF0000"/>
              </a:solidFill>
              <a:ln w="9525">
                <a:solidFill>
                  <a:srgbClr val="FF0000"/>
                </a:solidFill>
              </a:ln>
              <a:effectLst/>
            </c:spPr>
          </c:marker>
          <c:xVal>
            <c:numRef>
              <c:f>Sucre!$E$49:$AF$49</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Sucre!$E$55:$AF$55</c:f>
              <c:numCache>
                <c:formatCode>#,##0</c:formatCode>
                <c:ptCount val="28"/>
                <c:pt idx="12">
                  <c:v>0</c:v>
                </c:pt>
                <c:pt idx="16">
                  <c:v>7.3879999999999996E-3</c:v>
                </c:pt>
                <c:pt idx="20">
                  <c:v>0</c:v>
                </c:pt>
                <c:pt idx="24">
                  <c:v>0</c:v>
                </c:pt>
              </c:numCache>
            </c:numRef>
          </c:yVal>
          <c:smooth val="0"/>
          <c:extLst xmlns:c16r2="http://schemas.microsoft.com/office/drawing/2015/06/chart">
            <c:ext xmlns:c16="http://schemas.microsoft.com/office/drawing/2014/chart" uri="{C3380CC4-5D6E-409C-BE32-E72D297353CC}">
              <c16:uniqueId val="{00000003-1317-4B7E-881F-B8AF45368A15}"/>
            </c:ext>
          </c:extLst>
        </c:ser>
        <c:dLbls>
          <c:showLegendKey val="0"/>
          <c:showVal val="0"/>
          <c:showCatName val="0"/>
          <c:showSerName val="0"/>
          <c:showPercent val="0"/>
          <c:showBubbleSize val="0"/>
        </c:dLbls>
        <c:axId val="185411960"/>
        <c:axId val="185413136"/>
        <c:extLst xmlns:c16r2="http://schemas.microsoft.com/office/drawing/2015/06/chart">
          <c:ext xmlns:c15="http://schemas.microsoft.com/office/drawing/2012/chart" uri="{02D57815-91ED-43cb-92C2-25804820EDAC}">
            <c15:filteredScatterSeries>
              <c15:ser>
                <c:idx val="0"/>
                <c:order val="0"/>
                <c:tx>
                  <c:v>Exp. sucre</c:v>
                </c:tx>
                <c:spPr>
                  <a:ln w="28575" cap="rnd">
                    <a:solidFill>
                      <a:schemeClr val="accent1">
                        <a:lumMod val="50000"/>
                      </a:schemeClr>
                    </a:solidFill>
                    <a:prstDash val="lgDashDot"/>
                    <a:round/>
                  </a:ln>
                  <a:effectLst/>
                </c:spPr>
                <c:marker>
                  <c:symbol val="none"/>
                </c:marker>
                <c:xVal>
                  <c:numRef>
                    <c:extLst xmlns:c16r2="http://schemas.microsoft.com/office/drawing/2015/06/chart">
                      <c:ext uri="{02D57815-91ED-43cb-92C2-25804820EDAC}">
                        <c15:formulaRef>
                          <c15:sqref>Sucre!$E$49:$X$49</c15:sqref>
                        </c15:formulaRef>
                      </c:ext>
                    </c:extLst>
                    <c:numCache>
                      <c:formatCode>General</c:formatCode>
                      <c:ptCount val="20"/>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numCache>
                  </c:numRef>
                </c:xVal>
                <c:yVal>
                  <c:numRef>
                    <c:extLst xmlns:c16r2="http://schemas.microsoft.com/office/drawing/2015/06/chart">
                      <c:ext uri="{02D57815-91ED-43cb-92C2-25804820EDAC}">
                        <c15:formulaRef>
                          <c15:sqref>Sucre!$E$51:$X$51</c15:sqref>
                        </c15:formulaRef>
                      </c:ext>
                    </c:extLst>
                    <c:numCache>
                      <c:formatCode>#,##0</c:formatCode>
                      <c:ptCount val="20"/>
                      <c:pt idx="0">
                        <c:v>0.53376699999999999</c:v>
                      </c:pt>
                      <c:pt idx="1">
                        <c:v>0.75135000000000007</c:v>
                      </c:pt>
                      <c:pt idx="2">
                        <c:v>0.707121</c:v>
                      </c:pt>
                      <c:pt idx="3">
                        <c:v>0.94399999999999995</c:v>
                      </c:pt>
                      <c:pt idx="4">
                        <c:v>0.55667500000000003</c:v>
                      </c:pt>
                      <c:pt idx="5">
                        <c:v>0.53101599999999993</c:v>
                      </c:pt>
                      <c:pt idx="6">
                        <c:v>0.66300099999999995</c:v>
                      </c:pt>
                      <c:pt idx="7">
                        <c:v>0.64666800000000002</c:v>
                      </c:pt>
                      <c:pt idx="8">
                        <c:v>0.60264800000000007</c:v>
                      </c:pt>
                      <c:pt idx="9">
                        <c:v>0.59382000000000001</c:v>
                      </c:pt>
                      <c:pt idx="10">
                        <c:v>1.4019680000000001</c:v>
                      </c:pt>
                      <c:pt idx="11">
                        <c:v>1.087674</c:v>
                      </c:pt>
                      <c:pt idx="12">
                        <c:v>1.122452</c:v>
                      </c:pt>
                      <c:pt idx="13">
                        <c:v>1.2400329999999999</c:v>
                      </c:pt>
                      <c:pt idx="14">
                        <c:v>1.1633249999999999</c:v>
                      </c:pt>
                      <c:pt idx="15">
                        <c:v>0.9978260000000001</c:v>
                      </c:pt>
                      <c:pt idx="16">
                        <c:v>1.164431</c:v>
                      </c:pt>
                      <c:pt idx="17">
                        <c:v>1.3558239999999999</c:v>
                      </c:pt>
                      <c:pt idx="18">
                        <c:v>1.2088000000000001</c:v>
                      </c:pt>
                      <c:pt idx="19">
                        <c:v>1.104312</c:v>
                      </c:pt>
                    </c:numCache>
                  </c:numRef>
                </c:yVal>
                <c:smooth val="0"/>
                <c:extLst xmlns:c16r2="http://schemas.microsoft.com/office/drawing/2015/06/chart">
                  <c:ext xmlns:c16="http://schemas.microsoft.com/office/drawing/2014/chart" uri="{C3380CC4-5D6E-409C-BE32-E72D297353CC}">
                    <c16:uniqueId val="{00000004-1317-4B7E-881F-B8AF45368A15}"/>
                  </c:ext>
                </c:extLst>
              </c15:ser>
            </c15:filteredScatterSeries>
            <c15:filteredScatterSeries>
              <c15:ser>
                <c:idx val="2"/>
                <c:order val="2"/>
                <c:tx>
                  <c:v>Imp. sucre</c:v>
                </c:tx>
                <c:spPr>
                  <a:ln w="28575" cap="rnd">
                    <a:solidFill>
                      <a:schemeClr val="accent2"/>
                    </a:solidFill>
                    <a:prstDash val="lgDashDot"/>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Sucre!$E$49:$X$49</c15:sqref>
                        </c15:formulaRef>
                      </c:ext>
                    </c:extLst>
                    <c:numCache>
                      <c:formatCode>General</c:formatCode>
                      <c:ptCount val="20"/>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Sucre!$E$53:$X$53</c15:sqref>
                        </c15:formulaRef>
                      </c:ext>
                    </c:extLst>
                    <c:numCache>
                      <c:formatCode>#,##0</c:formatCode>
                      <c:ptCount val="20"/>
                      <c:pt idx="0">
                        <c:v>7.5159590000000005</c:v>
                      </c:pt>
                      <c:pt idx="1">
                        <c:v>8.7049679999999992</c:v>
                      </c:pt>
                      <c:pt idx="2">
                        <c:v>8.5265719999999998</c:v>
                      </c:pt>
                      <c:pt idx="3">
                        <c:v>10.680866</c:v>
                      </c:pt>
                      <c:pt idx="4">
                        <c:v>7.8453229999999996</c:v>
                      </c:pt>
                      <c:pt idx="5">
                        <c:v>11.943586</c:v>
                      </c:pt>
                      <c:pt idx="6">
                        <c:v>9.5311059999999994</c:v>
                      </c:pt>
                      <c:pt idx="7">
                        <c:v>11.12039</c:v>
                      </c:pt>
                      <c:pt idx="8">
                        <c:v>9.1854410000000009</c:v>
                      </c:pt>
                      <c:pt idx="9">
                        <c:v>13.112024999999999</c:v>
                      </c:pt>
                      <c:pt idx="10">
                        <c:v>12.329526999999999</c:v>
                      </c:pt>
                      <c:pt idx="11">
                        <c:v>12.520176000000001</c:v>
                      </c:pt>
                      <c:pt idx="12">
                        <c:v>11.252056999999999</c:v>
                      </c:pt>
                      <c:pt idx="13">
                        <c:v>11.083580000000001</c:v>
                      </c:pt>
                      <c:pt idx="14">
                        <c:v>12.558739000000001</c:v>
                      </c:pt>
                      <c:pt idx="15">
                        <c:v>15.096890999999999</c:v>
                      </c:pt>
                      <c:pt idx="16">
                        <c:v>10.430026</c:v>
                      </c:pt>
                      <c:pt idx="17">
                        <c:v>11.194564</c:v>
                      </c:pt>
                      <c:pt idx="18">
                        <c:v>9.1386269999999996</c:v>
                      </c:pt>
                      <c:pt idx="19">
                        <c:v>10.197734000000001</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5-1317-4B7E-881F-B8AF45368A15}"/>
                  </c:ext>
                </c:extLst>
              </c15:ser>
            </c15:filteredScatterSeries>
          </c:ext>
        </c:extLst>
      </c:scatterChart>
      <c:valAx>
        <c:axId val="185411960"/>
        <c:scaling>
          <c:orientation val="minMax"/>
          <c:max val="2021"/>
          <c:min val="201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dk1"/>
                </a:solidFill>
                <a:latin typeface="+mn-lt"/>
                <a:ea typeface="+mn-ea"/>
                <a:cs typeface="+mn-cs"/>
              </a:defRPr>
            </a:pPr>
            <a:endParaRPr lang="fr-FR"/>
          </a:p>
        </c:txPr>
        <c:crossAx val="185413136"/>
        <c:crosses val="autoZero"/>
        <c:crossBetween val="midCat"/>
        <c:majorUnit val="1"/>
      </c:valAx>
      <c:valAx>
        <c:axId val="185413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dk1"/>
                </a:solidFill>
                <a:latin typeface="+mn-lt"/>
                <a:ea typeface="+mn-ea"/>
                <a:cs typeface="+mn-cs"/>
              </a:defRPr>
            </a:pPr>
            <a:endParaRPr lang="fr-FR"/>
          </a:p>
        </c:txPr>
        <c:crossAx val="185411960"/>
        <c:crosses val="autoZero"/>
        <c:crossBetween val="midCat"/>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700" b="0" i="0" u="none" strike="noStrike" kern="1200" baseline="0">
              <a:solidFill>
                <a:schemeClr val="dk1"/>
              </a:solidFill>
              <a:latin typeface="+mn-lt"/>
              <a:ea typeface="+mn-ea"/>
              <a:cs typeface="+mn-cs"/>
            </a:defRPr>
          </a:pPr>
          <a:endParaRPr lang="fr-FR"/>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Flux annuels UE-CAN et CAN-US (M€)</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Ethanol!$B$47:$D$47</c:f>
              <c:strCache>
                <c:ptCount val="3"/>
                <c:pt idx="0">
                  <c:v>UE --&gt; CAN</c:v>
                </c:pt>
                <c:pt idx="2">
                  <c:v>M€</c:v>
                </c:pt>
              </c:strCache>
            </c:strRef>
          </c:tx>
          <c:spPr>
            <a:ln w="28575" cap="rnd">
              <a:solidFill>
                <a:schemeClr val="accent1"/>
              </a:solidFill>
              <a:round/>
            </a:ln>
            <a:effectLst/>
          </c:spPr>
          <c:marker>
            <c:symbol val="none"/>
          </c:marker>
          <c:cat>
            <c:numRef>
              <c:f>Ethanol!$E$46:$K$46</c:f>
              <c:numCache>
                <c:formatCode>#,##0</c:formatCode>
                <c:ptCount val="7"/>
                <c:pt idx="0">
                  <c:v>2014</c:v>
                </c:pt>
                <c:pt idx="1">
                  <c:v>2015</c:v>
                </c:pt>
                <c:pt idx="2">
                  <c:v>2016</c:v>
                </c:pt>
                <c:pt idx="3">
                  <c:v>2017</c:v>
                </c:pt>
                <c:pt idx="4">
                  <c:v>2018</c:v>
                </c:pt>
                <c:pt idx="5">
                  <c:v>2019</c:v>
                </c:pt>
                <c:pt idx="6">
                  <c:v>2020</c:v>
                </c:pt>
              </c:numCache>
            </c:numRef>
          </c:cat>
          <c:val>
            <c:numRef>
              <c:f>Ethanol!$E$47:$K$47</c:f>
              <c:numCache>
                <c:formatCode>#,##0</c:formatCode>
                <c:ptCount val="7"/>
                <c:pt idx="0">
                  <c:v>4.7470690000000006</c:v>
                </c:pt>
                <c:pt idx="1">
                  <c:v>0.19926700000000003</c:v>
                </c:pt>
                <c:pt idx="2">
                  <c:v>0.26724000000000003</c:v>
                </c:pt>
                <c:pt idx="3">
                  <c:v>9.9756999999999998E-2</c:v>
                </c:pt>
                <c:pt idx="4">
                  <c:v>0.38794099999999998</c:v>
                </c:pt>
                <c:pt idx="5">
                  <c:v>0.55922300000000003</c:v>
                </c:pt>
                <c:pt idx="6">
                  <c:v>1.713341</c:v>
                </c:pt>
              </c:numCache>
            </c:numRef>
          </c:val>
          <c:smooth val="0"/>
          <c:extLst xmlns:c16r2="http://schemas.microsoft.com/office/drawing/2015/06/chart">
            <c:ext xmlns:c16="http://schemas.microsoft.com/office/drawing/2014/chart" uri="{C3380CC4-5D6E-409C-BE32-E72D297353CC}">
              <c16:uniqueId val="{00000000-068A-4C40-87C5-7B8BEA02D197}"/>
            </c:ext>
          </c:extLst>
        </c:ser>
        <c:ser>
          <c:idx val="1"/>
          <c:order val="1"/>
          <c:tx>
            <c:strRef>
              <c:f>Ethanol!$B$48:$D$48</c:f>
              <c:strCache>
                <c:ptCount val="3"/>
                <c:pt idx="0">
                  <c:v>CAN --&gt; UE</c:v>
                </c:pt>
                <c:pt idx="2">
                  <c:v>M€</c:v>
                </c:pt>
              </c:strCache>
            </c:strRef>
          </c:tx>
          <c:spPr>
            <a:ln w="28575" cap="rnd">
              <a:solidFill>
                <a:schemeClr val="accent2"/>
              </a:solidFill>
              <a:round/>
            </a:ln>
            <a:effectLst/>
          </c:spPr>
          <c:marker>
            <c:symbol val="none"/>
          </c:marker>
          <c:cat>
            <c:numRef>
              <c:f>Ethanol!$E$46:$K$46</c:f>
              <c:numCache>
                <c:formatCode>#,##0</c:formatCode>
                <c:ptCount val="7"/>
                <c:pt idx="0">
                  <c:v>2014</c:v>
                </c:pt>
                <c:pt idx="1">
                  <c:v>2015</c:v>
                </c:pt>
                <c:pt idx="2">
                  <c:v>2016</c:v>
                </c:pt>
                <c:pt idx="3">
                  <c:v>2017</c:v>
                </c:pt>
                <c:pt idx="4">
                  <c:v>2018</c:v>
                </c:pt>
                <c:pt idx="5">
                  <c:v>2019</c:v>
                </c:pt>
                <c:pt idx="6">
                  <c:v>2020</c:v>
                </c:pt>
              </c:numCache>
            </c:numRef>
          </c:cat>
          <c:val>
            <c:numRef>
              <c:f>Ethanol!$E$48:$K$48</c:f>
              <c:numCache>
                <c:formatCode>#,##0</c:formatCode>
                <c:ptCount val="7"/>
                <c:pt idx="0">
                  <c:v>5.3393000000000003E-2</c:v>
                </c:pt>
                <c:pt idx="1">
                  <c:v>4.8430000000000008E-2</c:v>
                </c:pt>
                <c:pt idx="2">
                  <c:v>2.8648E-2</c:v>
                </c:pt>
                <c:pt idx="3">
                  <c:v>6.3279000000000002E-2</c:v>
                </c:pt>
                <c:pt idx="4">
                  <c:v>0.32248300000000002</c:v>
                </c:pt>
                <c:pt idx="5">
                  <c:v>7.269177</c:v>
                </c:pt>
                <c:pt idx="6">
                  <c:v>44.973412999999994</c:v>
                </c:pt>
              </c:numCache>
            </c:numRef>
          </c:val>
          <c:smooth val="0"/>
          <c:extLst xmlns:c16r2="http://schemas.microsoft.com/office/drawing/2015/06/chart">
            <c:ext xmlns:c16="http://schemas.microsoft.com/office/drawing/2014/chart" uri="{C3380CC4-5D6E-409C-BE32-E72D297353CC}">
              <c16:uniqueId val="{00000001-068A-4C40-87C5-7B8BEA02D197}"/>
            </c:ext>
          </c:extLst>
        </c:ser>
        <c:ser>
          <c:idx val="2"/>
          <c:order val="2"/>
          <c:tx>
            <c:strRef>
              <c:f>Ethanol!$B$49:$D$49</c:f>
              <c:strCache>
                <c:ptCount val="3"/>
                <c:pt idx="0">
                  <c:v>US --&gt; CAN (net)</c:v>
                </c:pt>
                <c:pt idx="2">
                  <c:v>M€</c:v>
                </c:pt>
              </c:strCache>
            </c:strRef>
          </c:tx>
          <c:spPr>
            <a:ln w="28575" cap="rnd">
              <a:solidFill>
                <a:schemeClr val="accent3"/>
              </a:solidFill>
              <a:round/>
            </a:ln>
            <a:effectLst/>
          </c:spPr>
          <c:marker>
            <c:symbol val="none"/>
          </c:marker>
          <c:cat>
            <c:numRef>
              <c:f>Ethanol!$E$46:$K$46</c:f>
              <c:numCache>
                <c:formatCode>#,##0</c:formatCode>
                <c:ptCount val="7"/>
                <c:pt idx="0">
                  <c:v>2014</c:v>
                </c:pt>
                <c:pt idx="1">
                  <c:v>2015</c:v>
                </c:pt>
                <c:pt idx="2">
                  <c:v>2016</c:v>
                </c:pt>
                <c:pt idx="3">
                  <c:v>2017</c:v>
                </c:pt>
                <c:pt idx="4">
                  <c:v>2018</c:v>
                </c:pt>
                <c:pt idx="5">
                  <c:v>2019</c:v>
                </c:pt>
                <c:pt idx="6">
                  <c:v>2020</c:v>
                </c:pt>
              </c:numCache>
            </c:numRef>
          </c:cat>
          <c:val>
            <c:numRef>
              <c:f>Ethanol!$E$49:$K$49</c:f>
              <c:numCache>
                <c:formatCode>#,##0</c:formatCode>
                <c:ptCount val="7"/>
                <c:pt idx="0">
                  <c:v>618.71517631879988</c:v>
                </c:pt>
                <c:pt idx="1">
                  <c:v>585.18648145100008</c:v>
                </c:pt>
                <c:pt idx="2">
                  <c:v>560.01935150700001</c:v>
                </c:pt>
                <c:pt idx="3">
                  <c:v>572.64127399500012</c:v>
                </c:pt>
                <c:pt idx="4">
                  <c:v>533.98036176100004</c:v>
                </c:pt>
                <c:pt idx="5">
                  <c:v>494.34318493500001</c:v>
                </c:pt>
                <c:pt idx="6">
                  <c:v>486.08364</c:v>
                </c:pt>
              </c:numCache>
            </c:numRef>
          </c:val>
          <c:smooth val="0"/>
          <c:extLst xmlns:c16r2="http://schemas.microsoft.com/office/drawing/2015/06/chart">
            <c:ext xmlns:c16="http://schemas.microsoft.com/office/drawing/2014/chart" uri="{C3380CC4-5D6E-409C-BE32-E72D297353CC}">
              <c16:uniqueId val="{00000002-068A-4C40-87C5-7B8BEA02D197}"/>
            </c:ext>
          </c:extLst>
        </c:ser>
        <c:dLbls>
          <c:showLegendKey val="0"/>
          <c:showVal val="0"/>
          <c:showCatName val="0"/>
          <c:showSerName val="0"/>
          <c:showPercent val="0"/>
          <c:showBubbleSize val="0"/>
        </c:dLbls>
        <c:smooth val="0"/>
        <c:axId val="148144008"/>
        <c:axId val="148146360"/>
      </c:lineChart>
      <c:catAx>
        <c:axId val="14814400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48146360"/>
        <c:crosses val="autoZero"/>
        <c:auto val="1"/>
        <c:lblAlgn val="ctr"/>
        <c:lblOffset val="100"/>
        <c:noMultiLvlLbl val="0"/>
      </c:catAx>
      <c:valAx>
        <c:axId val="148146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48144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Flux trimestriels UE - Canada (t)</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lineMarker"/>
        <c:varyColors val="0"/>
        <c:ser>
          <c:idx val="0"/>
          <c:order val="0"/>
          <c:tx>
            <c:strRef>
              <c:f>Ethanol!$B$47:$D$47</c:f>
              <c:strCache>
                <c:ptCount val="3"/>
                <c:pt idx="0">
                  <c:v>UE --&gt; CAN</c:v>
                </c:pt>
                <c:pt idx="2">
                  <c:v>M€</c:v>
                </c:pt>
              </c:strCache>
            </c:strRef>
          </c:tx>
          <c:spPr>
            <a:ln w="28575" cap="rnd">
              <a:solidFill>
                <a:schemeClr val="accent1"/>
              </a:solidFill>
              <a:round/>
            </a:ln>
            <a:effectLst/>
          </c:spPr>
          <c:marker>
            <c:symbol val="none"/>
          </c:marker>
          <c:xVal>
            <c:numRef>
              <c:f>Ethanol!$F$53:$AG$53</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Ethanol!$F$67:$AG$67</c:f>
              <c:numCache>
                <c:formatCode>#,##0</c:formatCode>
                <c:ptCount val="28"/>
                <c:pt idx="0">
                  <c:v>56</c:v>
                </c:pt>
                <c:pt idx="1">
                  <c:v>8159.2</c:v>
                </c:pt>
                <c:pt idx="2">
                  <c:v>8.1</c:v>
                </c:pt>
                <c:pt idx="3">
                  <c:v>24.4</c:v>
                </c:pt>
                <c:pt idx="4">
                  <c:v>44.9</c:v>
                </c:pt>
                <c:pt idx="5">
                  <c:v>5.5</c:v>
                </c:pt>
                <c:pt idx="6">
                  <c:v>5.4</c:v>
                </c:pt>
                <c:pt idx="7">
                  <c:v>50.7</c:v>
                </c:pt>
                <c:pt idx="8">
                  <c:v>91.2</c:v>
                </c:pt>
                <c:pt idx="9">
                  <c:v>12.3</c:v>
                </c:pt>
                <c:pt idx="10">
                  <c:v>39.1</c:v>
                </c:pt>
                <c:pt idx="11">
                  <c:v>29.7</c:v>
                </c:pt>
                <c:pt idx="12">
                  <c:v>22.6</c:v>
                </c:pt>
                <c:pt idx="13">
                  <c:v>25.3</c:v>
                </c:pt>
                <c:pt idx="14">
                  <c:v>57.3</c:v>
                </c:pt>
                <c:pt idx="15">
                  <c:v>24.4</c:v>
                </c:pt>
                <c:pt idx="16">
                  <c:v>45</c:v>
                </c:pt>
                <c:pt idx="17">
                  <c:v>61.9</c:v>
                </c:pt>
                <c:pt idx="18">
                  <c:v>65.599999999999994</c:v>
                </c:pt>
                <c:pt idx="19">
                  <c:v>59.6</c:v>
                </c:pt>
                <c:pt idx="20">
                  <c:v>64.599999999999994</c:v>
                </c:pt>
                <c:pt idx="21">
                  <c:v>43</c:v>
                </c:pt>
                <c:pt idx="22">
                  <c:v>79</c:v>
                </c:pt>
                <c:pt idx="23">
                  <c:v>79</c:v>
                </c:pt>
                <c:pt idx="24">
                  <c:v>94.4</c:v>
                </c:pt>
                <c:pt idx="25">
                  <c:v>344.1</c:v>
                </c:pt>
                <c:pt idx="26">
                  <c:v>453.8</c:v>
                </c:pt>
                <c:pt idx="27">
                  <c:v>144.69999999999999</c:v>
                </c:pt>
              </c:numCache>
            </c:numRef>
          </c:yVal>
          <c:smooth val="0"/>
          <c:extLst xmlns:c16r2="http://schemas.microsoft.com/office/drawing/2015/06/chart">
            <c:ext xmlns:c16="http://schemas.microsoft.com/office/drawing/2014/chart" uri="{C3380CC4-5D6E-409C-BE32-E72D297353CC}">
              <c16:uniqueId val="{00000000-F1F5-4802-99AB-BDCC0991C3E1}"/>
            </c:ext>
          </c:extLst>
        </c:ser>
        <c:ser>
          <c:idx val="1"/>
          <c:order val="1"/>
          <c:tx>
            <c:strRef>
              <c:f>Ethanol!$B$48:$D$48</c:f>
              <c:strCache>
                <c:ptCount val="3"/>
                <c:pt idx="0">
                  <c:v>CAN --&gt; UE</c:v>
                </c:pt>
                <c:pt idx="2">
                  <c:v>M€</c:v>
                </c:pt>
              </c:strCache>
            </c:strRef>
          </c:tx>
          <c:spPr>
            <a:ln w="28575" cap="rnd">
              <a:solidFill>
                <a:schemeClr val="accent2"/>
              </a:solidFill>
              <a:round/>
            </a:ln>
            <a:effectLst/>
          </c:spPr>
          <c:marker>
            <c:symbol val="none"/>
          </c:marker>
          <c:xVal>
            <c:numRef>
              <c:f>Ethanol!$F$53:$AG$53</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Ethanol!$F$69:$AG$69</c:f>
              <c:numCache>
                <c:formatCode>#,##0</c:formatCode>
                <c:ptCount val="28"/>
                <c:pt idx="0">
                  <c:v>11.100000000000001</c:v>
                </c:pt>
                <c:pt idx="1">
                  <c:v>0</c:v>
                </c:pt>
                <c:pt idx="2">
                  <c:v>12.100000000000001</c:v>
                </c:pt>
                <c:pt idx="3">
                  <c:v>1.7000000000000002</c:v>
                </c:pt>
                <c:pt idx="4">
                  <c:v>1.2000000000000002</c:v>
                </c:pt>
                <c:pt idx="5">
                  <c:v>0.60000000000000009</c:v>
                </c:pt>
                <c:pt idx="6">
                  <c:v>0.70000000000000007</c:v>
                </c:pt>
                <c:pt idx="7">
                  <c:v>0.2</c:v>
                </c:pt>
                <c:pt idx="8">
                  <c:v>0.2</c:v>
                </c:pt>
                <c:pt idx="9">
                  <c:v>1</c:v>
                </c:pt>
                <c:pt idx="10">
                  <c:v>0.9</c:v>
                </c:pt>
                <c:pt idx="11">
                  <c:v>1.1000000000000001</c:v>
                </c:pt>
                <c:pt idx="12">
                  <c:v>1.6</c:v>
                </c:pt>
                <c:pt idx="13">
                  <c:v>2.8000000000000003</c:v>
                </c:pt>
                <c:pt idx="14">
                  <c:v>2.6</c:v>
                </c:pt>
                <c:pt idx="15">
                  <c:v>1.5</c:v>
                </c:pt>
                <c:pt idx="16">
                  <c:v>1.2000000000000002</c:v>
                </c:pt>
                <c:pt idx="17">
                  <c:v>17</c:v>
                </c:pt>
                <c:pt idx="18">
                  <c:v>52</c:v>
                </c:pt>
                <c:pt idx="19">
                  <c:v>68.3</c:v>
                </c:pt>
                <c:pt idx="20">
                  <c:v>100</c:v>
                </c:pt>
                <c:pt idx="21">
                  <c:v>46.6</c:v>
                </c:pt>
                <c:pt idx="22">
                  <c:v>4927.8</c:v>
                </c:pt>
                <c:pt idx="23">
                  <c:v>7384.3</c:v>
                </c:pt>
                <c:pt idx="24">
                  <c:v>4247.8</c:v>
                </c:pt>
                <c:pt idx="25">
                  <c:v>18328.100000000002</c:v>
                </c:pt>
                <c:pt idx="26">
                  <c:v>29405.100000000002</c:v>
                </c:pt>
                <c:pt idx="27">
                  <c:v>19244.900000000001</c:v>
                </c:pt>
              </c:numCache>
            </c:numRef>
          </c:yVal>
          <c:smooth val="0"/>
          <c:extLst xmlns:c16r2="http://schemas.microsoft.com/office/drawing/2015/06/chart">
            <c:ext xmlns:c16="http://schemas.microsoft.com/office/drawing/2014/chart" uri="{C3380CC4-5D6E-409C-BE32-E72D297353CC}">
              <c16:uniqueId val="{00000001-F1F5-4802-99AB-BDCC0991C3E1}"/>
            </c:ext>
          </c:extLst>
        </c:ser>
        <c:ser>
          <c:idx val="2"/>
          <c:order val="2"/>
          <c:tx>
            <c:strRef>
              <c:f>Ethanol!$B$49:$D$49</c:f>
              <c:strCache>
                <c:ptCount val="3"/>
                <c:pt idx="0">
                  <c:v>US --&gt; CAN (net)</c:v>
                </c:pt>
                <c:pt idx="2">
                  <c:v>M€</c:v>
                </c:pt>
              </c:strCache>
            </c:strRef>
          </c:tx>
          <c:spPr>
            <a:ln w="12700" cap="rnd">
              <a:solidFill>
                <a:schemeClr val="tx1"/>
              </a:solidFill>
              <a:prstDash val="sysDash"/>
              <a:round/>
            </a:ln>
            <a:effectLst/>
          </c:spPr>
          <c:marker>
            <c:symbol val="none"/>
          </c:marker>
          <c:xVal>
            <c:numRef>
              <c:f>Ethanol!$F$53:$AG$53</c:f>
              <c:numCache>
                <c:formatCode>General</c:formatCode>
                <c:ptCount val="28"/>
                <c:pt idx="0">
                  <c:v>2014</c:v>
                </c:pt>
                <c:pt idx="1">
                  <c:v>2014.25</c:v>
                </c:pt>
                <c:pt idx="2">
                  <c:v>2014.5</c:v>
                </c:pt>
                <c:pt idx="3">
                  <c:v>2014.75</c:v>
                </c:pt>
                <c:pt idx="4">
                  <c:v>2015</c:v>
                </c:pt>
                <c:pt idx="5">
                  <c:v>2015.25</c:v>
                </c:pt>
                <c:pt idx="6">
                  <c:v>2015.5</c:v>
                </c:pt>
                <c:pt idx="7">
                  <c:v>2015.75</c:v>
                </c:pt>
                <c:pt idx="8">
                  <c:v>2016</c:v>
                </c:pt>
                <c:pt idx="9">
                  <c:v>2016.25</c:v>
                </c:pt>
                <c:pt idx="10">
                  <c:v>2016.5</c:v>
                </c:pt>
                <c:pt idx="11">
                  <c:v>2016.75</c:v>
                </c:pt>
                <c:pt idx="12">
                  <c:v>2017</c:v>
                </c:pt>
                <c:pt idx="13">
                  <c:v>2017.25</c:v>
                </c:pt>
                <c:pt idx="14">
                  <c:v>2017.5</c:v>
                </c:pt>
                <c:pt idx="15">
                  <c:v>2017.75</c:v>
                </c:pt>
                <c:pt idx="16">
                  <c:v>2018</c:v>
                </c:pt>
                <c:pt idx="17">
                  <c:v>2018.25</c:v>
                </c:pt>
                <c:pt idx="18">
                  <c:v>2018.5</c:v>
                </c:pt>
                <c:pt idx="19">
                  <c:v>2018.75</c:v>
                </c:pt>
                <c:pt idx="20">
                  <c:v>2019</c:v>
                </c:pt>
                <c:pt idx="21">
                  <c:v>2019.25</c:v>
                </c:pt>
                <c:pt idx="22">
                  <c:v>2019.5</c:v>
                </c:pt>
                <c:pt idx="23">
                  <c:v>2019.75</c:v>
                </c:pt>
                <c:pt idx="24">
                  <c:v>2020</c:v>
                </c:pt>
                <c:pt idx="25">
                  <c:v>2020.25</c:v>
                </c:pt>
                <c:pt idx="26">
                  <c:v>2020.5</c:v>
                </c:pt>
                <c:pt idx="27">
                  <c:v>2020.75</c:v>
                </c:pt>
              </c:numCache>
            </c:numRef>
          </c:xVal>
          <c:yVal>
            <c:numRef>
              <c:f>Ethanol!$F$75:$AG$75</c:f>
              <c:numCache>
                <c:formatCode>#,##0</c:formatCode>
                <c:ptCount val="28"/>
                <c:pt idx="0">
                  <c:v>9887.4127640000006</c:v>
                </c:pt>
                <c:pt idx="1">
                  <c:v>9887.4127640000006</c:v>
                </c:pt>
                <c:pt idx="2">
                  <c:v>9887.4127640000006</c:v>
                </c:pt>
                <c:pt idx="3">
                  <c:v>9887.4127640000006</c:v>
                </c:pt>
                <c:pt idx="4">
                  <c:v>9887.4127640000006</c:v>
                </c:pt>
                <c:pt idx="5">
                  <c:v>9887.4127640000006</c:v>
                </c:pt>
                <c:pt idx="6">
                  <c:v>9887.4127640000006</c:v>
                </c:pt>
                <c:pt idx="7">
                  <c:v>9887.4127640000006</c:v>
                </c:pt>
                <c:pt idx="8">
                  <c:v>9887.4127640000006</c:v>
                </c:pt>
                <c:pt idx="9">
                  <c:v>9887.4127640000006</c:v>
                </c:pt>
                <c:pt idx="10">
                  <c:v>9887.4127640000006</c:v>
                </c:pt>
                <c:pt idx="11">
                  <c:v>9887.4127640000006</c:v>
                </c:pt>
                <c:pt idx="12">
                  <c:v>9887.4127640000006</c:v>
                </c:pt>
                <c:pt idx="13">
                  <c:v>9887.4127640000006</c:v>
                </c:pt>
                <c:pt idx="14">
                  <c:v>9887.4127640000006</c:v>
                </c:pt>
                <c:pt idx="15">
                  <c:v>9887.4127640000006</c:v>
                </c:pt>
                <c:pt idx="16">
                  <c:v>9887.4127640000006</c:v>
                </c:pt>
                <c:pt idx="17">
                  <c:v>9887.4127640000006</c:v>
                </c:pt>
                <c:pt idx="18">
                  <c:v>9887.4127640000006</c:v>
                </c:pt>
                <c:pt idx="19">
                  <c:v>9887.4127640000006</c:v>
                </c:pt>
                <c:pt idx="20">
                  <c:v>9887.4127640000006</c:v>
                </c:pt>
                <c:pt idx="21">
                  <c:v>9887.4127640000006</c:v>
                </c:pt>
                <c:pt idx="22">
                  <c:v>9887.4127640000006</c:v>
                </c:pt>
                <c:pt idx="23">
                  <c:v>9887.4127640000006</c:v>
                </c:pt>
                <c:pt idx="24">
                  <c:v>9887.4127640000006</c:v>
                </c:pt>
                <c:pt idx="25">
                  <c:v>9887.4127640000006</c:v>
                </c:pt>
                <c:pt idx="26">
                  <c:v>9887.4127640000006</c:v>
                </c:pt>
                <c:pt idx="27">
                  <c:v>9887.4127640000006</c:v>
                </c:pt>
              </c:numCache>
            </c:numRef>
          </c:yVal>
          <c:smooth val="0"/>
          <c:extLst xmlns:c16r2="http://schemas.microsoft.com/office/drawing/2015/06/chart">
            <c:ext xmlns:c16="http://schemas.microsoft.com/office/drawing/2014/chart" uri="{C3380CC4-5D6E-409C-BE32-E72D297353CC}">
              <c16:uniqueId val="{00000002-F1F5-4802-99AB-BDCC0991C3E1}"/>
            </c:ext>
          </c:extLst>
        </c:ser>
        <c:dLbls>
          <c:showLegendKey val="0"/>
          <c:showVal val="0"/>
          <c:showCatName val="0"/>
          <c:showSerName val="0"/>
          <c:showPercent val="0"/>
          <c:showBubbleSize val="0"/>
        </c:dLbls>
        <c:axId val="148149104"/>
        <c:axId val="148144400"/>
      </c:scatterChart>
      <c:valAx>
        <c:axId val="148149104"/>
        <c:scaling>
          <c:orientation val="minMax"/>
          <c:max val="2020"/>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48144400"/>
        <c:crosses val="autoZero"/>
        <c:crossBetween val="midCat"/>
      </c:valAx>
      <c:valAx>
        <c:axId val="148144400"/>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48149104"/>
        <c:crosses val="autoZero"/>
        <c:crossBetween val="midCat"/>
      </c:valAx>
      <c:spPr>
        <a:noFill/>
        <a:ln>
          <a:noFill/>
        </a:ln>
        <a:effectLst/>
      </c:spPr>
    </c:plotArea>
    <c:legend>
      <c:legendPos val="b"/>
      <c:legendEntry>
        <c:idx val="2"/>
        <c:delete val="1"/>
      </c:legendEntry>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12</xdr:col>
      <xdr:colOff>0</xdr:colOff>
      <xdr:row>33</xdr:row>
      <xdr:rowOff>136072</xdr:rowOff>
    </xdr:from>
    <xdr:to>
      <xdr:col>20</xdr:col>
      <xdr:colOff>13608</xdr:colOff>
      <xdr:row>49</xdr:row>
      <xdr:rowOff>46264</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0.05099</cdr:x>
      <cdr:y>0.10546</cdr:y>
    </cdr:from>
    <cdr:to>
      <cdr:x>0.27748</cdr:x>
      <cdr:y>0.1788</cdr:y>
    </cdr:to>
    <cdr:sp macro="" textlink="">
      <cdr:nvSpPr>
        <cdr:cNvPr id="2" name="ZoneTexte 1"/>
        <cdr:cNvSpPr txBox="1"/>
      </cdr:nvSpPr>
      <cdr:spPr>
        <a:xfrm xmlns:a="http://schemas.openxmlformats.org/drawingml/2006/main">
          <a:off x="277131" y="379277"/>
          <a:ext cx="1230923" cy="2637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5% de la conso UE</a:t>
          </a:r>
        </a:p>
      </cdr:txBody>
    </cdr:sp>
  </cdr:relSizeAnchor>
</c:userShapes>
</file>

<file path=xl/drawings/drawing11.xml><?xml version="1.0" encoding="utf-8"?>
<xdr:wsDr xmlns:xdr="http://schemas.openxmlformats.org/drawingml/2006/spreadsheetDrawing" xmlns:a="http://schemas.openxmlformats.org/drawingml/2006/main">
  <xdr:twoCellAnchor>
    <xdr:from>
      <xdr:col>12</xdr:col>
      <xdr:colOff>169687</xdr:colOff>
      <xdr:row>32</xdr:row>
      <xdr:rowOff>209710</xdr:rowOff>
    </xdr:from>
    <xdr:to>
      <xdr:col>18</xdr:col>
      <xdr:colOff>786811</xdr:colOff>
      <xdr:row>48</xdr:row>
      <xdr:rowOff>38100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656036</xdr:colOff>
      <xdr:row>32</xdr:row>
      <xdr:rowOff>67235</xdr:rowOff>
    </xdr:from>
    <xdr:to>
      <xdr:col>25</xdr:col>
      <xdr:colOff>503283</xdr:colOff>
      <xdr:row>48</xdr:row>
      <xdr:rowOff>101443</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605118</xdr:colOff>
      <xdr:row>35</xdr:row>
      <xdr:rowOff>78440</xdr:rowOff>
    </xdr:from>
    <xdr:ext cx="847540" cy="201915"/>
    <xdr:sp macro="" textlink="">
      <xdr:nvSpPr>
        <xdr:cNvPr id="2" name="ZoneTexte 1"/>
        <xdr:cNvSpPr txBox="1"/>
      </xdr:nvSpPr>
      <xdr:spPr>
        <a:xfrm>
          <a:off x="17593236" y="6936440"/>
          <a:ext cx="847540"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700"/>
            <a:t>1% de la conso UE</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0.06751</cdr:x>
      <cdr:y>0.44859</cdr:y>
    </cdr:from>
    <cdr:to>
      <cdr:x>0.3445</cdr:x>
      <cdr:y>0.53325</cdr:y>
    </cdr:to>
    <cdr:sp macro="" textlink="">
      <cdr:nvSpPr>
        <cdr:cNvPr id="3" name="ZoneTexte 1"/>
        <cdr:cNvSpPr txBox="1"/>
      </cdr:nvSpPr>
      <cdr:spPr>
        <a:xfrm xmlns:a="http://schemas.openxmlformats.org/drawingml/2006/main">
          <a:off x="412477" y="1369737"/>
          <a:ext cx="1692300" cy="2585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0,1% de la conso UE</a:t>
          </a: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79001</xdr:colOff>
      <xdr:row>34</xdr:row>
      <xdr:rowOff>20451</xdr:rowOff>
    </xdr:from>
    <xdr:to>
      <xdr:col>16</xdr:col>
      <xdr:colOff>571500</xdr:colOff>
      <xdr:row>48</xdr:row>
      <xdr:rowOff>22412</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700088</xdr:colOff>
      <xdr:row>34</xdr:row>
      <xdr:rowOff>23812</xdr:rowOff>
    </xdr:from>
    <xdr:to>
      <xdr:col>21</xdr:col>
      <xdr:colOff>457200</xdr:colOff>
      <xdr:row>47</xdr:row>
      <xdr:rowOff>188819</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0.5245</cdr:x>
      <cdr:y>0.46499</cdr:y>
    </cdr:from>
    <cdr:to>
      <cdr:x>0.96397</cdr:x>
      <cdr:y>0.56323</cdr:y>
    </cdr:to>
    <cdr:sp macro="" textlink="">
      <cdr:nvSpPr>
        <cdr:cNvPr id="2" name="ZoneTexte 1"/>
        <cdr:cNvSpPr txBox="1"/>
      </cdr:nvSpPr>
      <cdr:spPr>
        <a:xfrm xmlns:a="http://schemas.openxmlformats.org/drawingml/2006/main">
          <a:off x="1546225" y="1317625"/>
          <a:ext cx="1295548" cy="2784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0,1% de la conso UE</a:t>
          </a:r>
        </a:p>
      </cdr:txBody>
    </cdr:sp>
  </cdr:relSizeAnchor>
</c:userShapes>
</file>

<file path=xl/drawings/drawing5.xml><?xml version="1.0" encoding="utf-8"?>
<c:userShapes xmlns:c="http://schemas.openxmlformats.org/drawingml/2006/chart">
  <cdr:relSizeAnchor xmlns:cdr="http://schemas.openxmlformats.org/drawingml/2006/chartDrawing">
    <cdr:from>
      <cdr:x>0.62038</cdr:x>
      <cdr:y>0.4807</cdr:y>
    </cdr:from>
    <cdr:to>
      <cdr:x>0.98358</cdr:x>
      <cdr:y>0.57606</cdr:y>
    </cdr:to>
    <cdr:sp macro="" textlink="">
      <cdr:nvSpPr>
        <cdr:cNvPr id="2" name="ZoneTexte 1"/>
        <cdr:cNvSpPr txBox="1"/>
      </cdr:nvSpPr>
      <cdr:spPr>
        <a:xfrm xmlns:a="http://schemas.openxmlformats.org/drawingml/2006/main">
          <a:off x="2212975" y="1403350"/>
          <a:ext cx="1295548" cy="2784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0,1% de la conso UE</a:t>
          </a:r>
        </a:p>
      </cdr:txBody>
    </cdr:sp>
  </cdr:relSizeAnchor>
</c:userShapes>
</file>

<file path=xl/drawings/drawing6.xml><?xml version="1.0" encoding="utf-8"?>
<xdr:wsDr xmlns:xdr="http://schemas.openxmlformats.org/drawingml/2006/spreadsheetDrawing" xmlns:a="http://schemas.openxmlformats.org/drawingml/2006/main">
  <xdr:twoCellAnchor>
    <xdr:from>
      <xdr:col>11</xdr:col>
      <xdr:colOff>672353</xdr:colOff>
      <xdr:row>38</xdr:row>
      <xdr:rowOff>179294</xdr:rowOff>
    </xdr:from>
    <xdr:to>
      <xdr:col>19</xdr:col>
      <xdr:colOff>521074</xdr:colOff>
      <xdr:row>54</xdr:row>
      <xdr:rowOff>11207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0.17184</cdr:x>
      <cdr:y>0.17292</cdr:y>
    </cdr:from>
    <cdr:to>
      <cdr:x>0.34912</cdr:x>
      <cdr:y>0.31223</cdr:y>
    </cdr:to>
    <cdr:sp macro="" textlink="">
      <cdr:nvSpPr>
        <cdr:cNvPr id="2" name="ZoneTexte 1"/>
        <cdr:cNvSpPr txBox="1"/>
      </cdr:nvSpPr>
      <cdr:spPr>
        <a:xfrm xmlns:a="http://schemas.openxmlformats.org/drawingml/2006/main">
          <a:off x="867895" y="472890"/>
          <a:ext cx="895350" cy="381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0,1% conso UE</a:t>
          </a:r>
        </a:p>
      </cdr:txBody>
    </cdr:sp>
  </cdr:relSizeAnchor>
</c:userShapes>
</file>

<file path=xl/drawings/drawing8.xml><?xml version="1.0" encoding="utf-8"?>
<xdr:wsDr xmlns:xdr="http://schemas.openxmlformats.org/drawingml/2006/spreadsheetDrawing" xmlns:a="http://schemas.openxmlformats.org/drawingml/2006/main">
  <xdr:twoCellAnchor>
    <xdr:from>
      <xdr:col>14</xdr:col>
      <xdr:colOff>843643</xdr:colOff>
      <xdr:row>27</xdr:row>
      <xdr:rowOff>21613</xdr:rowOff>
    </xdr:from>
    <xdr:to>
      <xdr:col>25</xdr:col>
      <xdr:colOff>137474</xdr:colOff>
      <xdr:row>45</xdr:row>
      <xdr:rowOff>107339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312965</xdr:colOff>
      <xdr:row>27</xdr:row>
      <xdr:rowOff>0</xdr:rowOff>
    </xdr:from>
    <xdr:to>
      <xdr:col>39</xdr:col>
      <xdr:colOff>549888</xdr:colOff>
      <xdr:row>45</xdr:row>
      <xdr:rowOff>112940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0.05099</cdr:x>
      <cdr:y>0.10546</cdr:y>
    </cdr:from>
    <cdr:to>
      <cdr:x>0.27748</cdr:x>
      <cdr:y>0.1788</cdr:y>
    </cdr:to>
    <cdr:sp macro="" textlink="">
      <cdr:nvSpPr>
        <cdr:cNvPr id="2" name="ZoneTexte 1"/>
        <cdr:cNvSpPr txBox="1"/>
      </cdr:nvSpPr>
      <cdr:spPr>
        <a:xfrm xmlns:a="http://schemas.openxmlformats.org/drawingml/2006/main">
          <a:off x="277131" y="379277"/>
          <a:ext cx="1230923" cy="2637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5% de la conso UE</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X229"/>
  <sheetViews>
    <sheetView view="pageBreakPreview" zoomScale="70" zoomScaleNormal="70" zoomScaleSheetLayoutView="70" workbookViewId="0">
      <pane xSplit="4" topLeftCell="H1" activePane="topRight" state="frozen"/>
      <selection activeCell="A43" sqref="A43"/>
      <selection pane="topRight" activeCell="S97" sqref="S97"/>
    </sheetView>
  </sheetViews>
  <sheetFormatPr baseColWidth="10" defaultColWidth="9.140625" defaultRowHeight="15" x14ac:dyDescent="0.25"/>
  <cols>
    <col min="1" max="1" width="12.28515625" customWidth="1"/>
    <col min="2" max="2" width="37.140625" customWidth="1"/>
    <col min="3" max="3" width="11.42578125" style="1" bestFit="1" customWidth="1"/>
    <col min="4" max="4" width="25.85546875" style="1" bestFit="1" customWidth="1"/>
    <col min="5" max="9" width="11.42578125" customWidth="1"/>
    <col min="10" max="11" width="11.28515625" customWidth="1"/>
    <col min="12" max="28" width="11.42578125" customWidth="1"/>
    <col min="29" max="32" width="11.42578125" style="365" customWidth="1"/>
    <col min="33" max="33" width="11.42578125" customWidth="1"/>
    <col min="34" max="37" width="10.7109375"/>
    <col min="38" max="38" width="10.7109375" customWidth="1"/>
    <col min="39" max="39" width="10.7109375"/>
    <col min="40" max="40" width="9.140625" style="365"/>
    <col min="42" max="1033" width="10.7109375"/>
  </cols>
  <sheetData>
    <row r="1" spans="2:41" ht="23.25" x14ac:dyDescent="0.35">
      <c r="B1" s="959" t="s">
        <v>208</v>
      </c>
      <c r="C1" s="959"/>
      <c r="D1" s="959"/>
      <c r="E1" s="959"/>
      <c r="F1" s="959"/>
      <c r="G1" s="959"/>
      <c r="H1" s="959"/>
      <c r="I1" s="959"/>
      <c r="J1" s="959"/>
      <c r="K1" s="959"/>
      <c r="L1" s="959"/>
      <c r="M1" s="959"/>
      <c r="N1" s="959"/>
      <c r="O1" s="959"/>
      <c r="P1" s="959"/>
      <c r="Q1" s="959"/>
      <c r="R1" s="959"/>
      <c r="S1" s="959"/>
      <c r="T1" s="959"/>
      <c r="U1" s="959"/>
      <c r="V1" s="959"/>
      <c r="W1" s="959"/>
      <c r="X1" s="959"/>
      <c r="Y1" s="959"/>
      <c r="Z1" s="959"/>
      <c r="AA1" s="959"/>
      <c r="AB1" s="959"/>
      <c r="AC1" s="959"/>
      <c r="AD1" s="959"/>
      <c r="AE1" s="959"/>
      <c r="AF1" s="959"/>
      <c r="AG1" s="959"/>
      <c r="AH1" s="959"/>
      <c r="AI1" s="959"/>
      <c r="AJ1" s="959"/>
      <c r="AK1" s="959"/>
      <c r="AL1" s="959"/>
      <c r="AM1" s="959"/>
      <c r="AN1" s="390"/>
      <c r="AO1" s="304"/>
    </row>
    <row r="2" spans="2:41" x14ac:dyDescent="0.25">
      <c r="B2" s="568"/>
      <c r="C2" s="568"/>
      <c r="D2" s="568"/>
      <c r="E2" s="568"/>
      <c r="F2" s="568"/>
      <c r="G2" s="568"/>
      <c r="H2" s="568"/>
      <c r="I2" s="568"/>
      <c r="J2" s="568"/>
      <c r="K2" s="568"/>
      <c r="L2" s="568"/>
      <c r="M2" s="568"/>
      <c r="N2" s="568"/>
      <c r="O2" s="568"/>
      <c r="P2" s="568"/>
      <c r="Q2" s="568"/>
      <c r="R2" s="568"/>
      <c r="S2" s="568"/>
      <c r="T2" s="568"/>
      <c r="U2" s="568"/>
      <c r="V2" s="568"/>
      <c r="W2" s="568"/>
      <c r="X2" s="568"/>
    </row>
    <row r="3" spans="2:41" x14ac:dyDescent="0.25">
      <c r="B3" s="569" t="s">
        <v>0</v>
      </c>
      <c r="C3" s="570"/>
      <c r="D3" s="570"/>
      <c r="E3" s="945" t="s">
        <v>1</v>
      </c>
      <c r="F3" s="945"/>
      <c r="G3" s="945"/>
      <c r="H3" s="945"/>
      <c r="I3" s="945"/>
      <c r="J3" s="945"/>
      <c r="K3" s="571"/>
      <c r="L3" s="572"/>
      <c r="M3" s="568"/>
      <c r="N3" s="573" t="s">
        <v>364</v>
      </c>
      <c r="O3" s="568"/>
      <c r="P3" s="568"/>
      <c r="Q3" s="568"/>
      <c r="R3" s="573" t="s">
        <v>337</v>
      </c>
      <c r="S3" s="568"/>
      <c r="T3" s="572"/>
      <c r="U3" s="568"/>
      <c r="V3" s="568"/>
      <c r="W3" s="568"/>
      <c r="X3" s="568"/>
    </row>
    <row r="4" spans="2:41" x14ac:dyDescent="0.25">
      <c r="B4" s="528" t="s">
        <v>2</v>
      </c>
      <c r="C4" s="574" t="s">
        <v>3</v>
      </c>
      <c r="D4" s="574"/>
      <c r="E4" s="574">
        <v>2014</v>
      </c>
      <c r="F4" s="574">
        <v>2015</v>
      </c>
      <c r="G4" s="574">
        <v>2016</v>
      </c>
      <c r="H4" s="574">
        <v>2017</v>
      </c>
      <c r="I4" s="574">
        <v>2018</v>
      </c>
      <c r="J4" s="575">
        <v>2019</v>
      </c>
      <c r="K4" s="574">
        <v>2020</v>
      </c>
      <c r="L4" s="576" t="s">
        <v>346</v>
      </c>
      <c r="M4" s="568"/>
      <c r="N4" s="568"/>
      <c r="O4" s="568"/>
      <c r="P4" s="568"/>
      <c r="Q4" s="568"/>
      <c r="R4" s="568"/>
      <c r="S4" s="568"/>
      <c r="T4" s="572"/>
      <c r="U4" s="568"/>
      <c r="V4" s="568"/>
      <c r="W4" s="568"/>
      <c r="X4" s="568"/>
    </row>
    <row r="5" spans="2:41" x14ac:dyDescent="0.25">
      <c r="B5" s="577" t="s">
        <v>4</v>
      </c>
      <c r="C5" s="578" t="s">
        <v>5</v>
      </c>
      <c r="D5" s="578"/>
      <c r="E5" s="579">
        <v>1431</v>
      </c>
      <c r="F5" s="579">
        <v>1471</v>
      </c>
      <c r="G5" s="579">
        <v>1480</v>
      </c>
      <c r="H5" s="579">
        <v>1457</v>
      </c>
      <c r="I5" s="579">
        <v>1476</v>
      </c>
      <c r="J5" s="580">
        <v>1435</v>
      </c>
      <c r="K5" s="579">
        <v>1447</v>
      </c>
      <c r="L5" s="581">
        <f>LINEST(E5:K5,$E$4:$K$4)/AVERAGE(E5:K5)</f>
        <v>-6.8647641463175329E-4</v>
      </c>
      <c r="M5" s="568"/>
      <c r="N5" s="582" t="s">
        <v>232</v>
      </c>
      <c r="O5" s="572"/>
      <c r="P5" s="583">
        <f>AN65</f>
        <v>52.269100000000009</v>
      </c>
      <c r="Q5" s="572"/>
      <c r="R5" s="747" t="s">
        <v>232</v>
      </c>
      <c r="S5" s="747"/>
      <c r="T5" s="583">
        <f>AM65</f>
        <v>103.67890000000001</v>
      </c>
      <c r="U5" s="568"/>
      <c r="V5" s="568"/>
      <c r="W5" s="568"/>
      <c r="X5" s="568"/>
    </row>
    <row r="6" spans="2:41" x14ac:dyDescent="0.25">
      <c r="B6" s="577" t="s">
        <v>6</v>
      </c>
      <c r="C6" s="584">
        <v>1000</v>
      </c>
      <c r="D6" s="585"/>
      <c r="E6" s="579">
        <v>6983880.2379999999</v>
      </c>
      <c r="F6" s="579">
        <v>6802188.0530000003</v>
      </c>
      <c r="G6" s="579">
        <v>6539658</v>
      </c>
      <c r="H6" s="579">
        <v>6615382</v>
      </c>
      <c r="I6" s="579">
        <v>6604970.3140000002</v>
      </c>
      <c r="J6" s="586" t="s">
        <v>23</v>
      </c>
      <c r="K6" s="587" t="s">
        <v>23</v>
      </c>
      <c r="L6" s="572"/>
      <c r="M6" s="568"/>
      <c r="N6" s="568" t="s">
        <v>244</v>
      </c>
      <c r="O6" s="572"/>
      <c r="P6" s="594">
        <f>K116+K119</f>
        <v>15.228200000000001</v>
      </c>
      <c r="Q6" s="572"/>
      <c r="R6" s="572" t="s">
        <v>244</v>
      </c>
      <c r="S6" s="572"/>
      <c r="T6" s="594">
        <f>J116+J119</f>
        <v>45.814399999999999</v>
      </c>
      <c r="U6" s="568"/>
      <c r="V6" s="568"/>
      <c r="W6" s="568"/>
      <c r="X6" s="568"/>
    </row>
    <row r="7" spans="2:41" x14ac:dyDescent="0.25">
      <c r="B7" s="577" t="s">
        <v>8</v>
      </c>
      <c r="C7" s="578" t="s">
        <v>9</v>
      </c>
      <c r="D7" s="578"/>
      <c r="E7" s="579">
        <v>1564</v>
      </c>
      <c r="F7" s="579">
        <v>1570</v>
      </c>
      <c r="G7" s="579">
        <v>1556</v>
      </c>
      <c r="H7" s="579">
        <v>1533</v>
      </c>
      <c r="I7" s="579">
        <v>1562</v>
      </c>
      <c r="J7" s="580">
        <v>1543</v>
      </c>
      <c r="K7" s="579">
        <v>1510</v>
      </c>
      <c r="L7" s="581">
        <f>LINEST(E7:K7,$E$4:$K$4)/AVERAGE(E7:K7)</f>
        <v>-4.8440671710647714E-3</v>
      </c>
      <c r="M7" s="568"/>
      <c r="N7" s="582" t="s">
        <v>365</v>
      </c>
      <c r="O7" s="747"/>
      <c r="P7" s="583">
        <f>AN61</f>
        <v>178.47700000000003</v>
      </c>
      <c r="Q7" s="747"/>
      <c r="R7" s="747" t="s">
        <v>366</v>
      </c>
      <c r="S7" s="747"/>
      <c r="T7" s="583">
        <f>AM61</f>
        <v>29.591899999999999</v>
      </c>
      <c r="U7" s="582"/>
      <c r="V7" s="568"/>
      <c r="W7" s="568"/>
      <c r="X7" s="568"/>
    </row>
    <row r="8" spans="2:41" x14ac:dyDescent="0.25">
      <c r="B8" s="577" t="s">
        <v>10</v>
      </c>
      <c r="C8" s="584">
        <v>1000</v>
      </c>
      <c r="D8" s="588" t="s">
        <v>11</v>
      </c>
      <c r="E8" s="589">
        <v>5099248.2281294223</v>
      </c>
      <c r="F8" s="589">
        <v>5025562.0522945086</v>
      </c>
      <c r="G8" s="589">
        <v>4983414.2223603632</v>
      </c>
      <c r="H8" s="589">
        <v>4897910.75</v>
      </c>
      <c r="I8" s="589">
        <v>4763172.6500000004</v>
      </c>
      <c r="J8" s="589">
        <v>4724390.04</v>
      </c>
      <c r="K8" s="590">
        <v>5104990.3199999994</v>
      </c>
      <c r="L8" s="572"/>
      <c r="M8" s="568"/>
      <c r="N8" s="568"/>
      <c r="O8" s="568"/>
      <c r="P8" s="568"/>
      <c r="Q8" s="568"/>
      <c r="R8" s="568"/>
      <c r="S8" s="568"/>
      <c r="T8" s="572"/>
      <c r="U8" s="572"/>
      <c r="V8" s="568"/>
      <c r="W8" s="568"/>
      <c r="X8" s="568"/>
    </row>
    <row r="9" spans="2:41" x14ac:dyDescent="0.25">
      <c r="B9" s="946" t="s">
        <v>12</v>
      </c>
      <c r="C9" s="947" t="s">
        <v>13</v>
      </c>
      <c r="D9" s="588" t="s">
        <v>14</v>
      </c>
      <c r="E9" s="591">
        <v>5.8917883282695902</v>
      </c>
      <c r="F9" s="591">
        <v>5.9319700307648002</v>
      </c>
      <c r="G9" s="591">
        <v>5.7818280196380201</v>
      </c>
      <c r="H9" s="591">
        <v>5.9349836090870403</v>
      </c>
      <c r="I9" s="591">
        <v>6.1</v>
      </c>
      <c r="J9" s="586" t="s">
        <v>23</v>
      </c>
      <c r="K9" s="587"/>
      <c r="L9" s="572"/>
      <c r="M9" s="568"/>
      <c r="N9" s="582" t="s">
        <v>231</v>
      </c>
      <c r="O9" s="568"/>
      <c r="P9" s="583">
        <f>AN89</f>
        <v>1577.0300000000002</v>
      </c>
      <c r="Q9" s="568"/>
      <c r="R9" s="582" t="s">
        <v>231</v>
      </c>
      <c r="S9" s="582"/>
      <c r="T9" s="583">
        <f>AM89</f>
        <v>2536.4300000000003</v>
      </c>
      <c r="U9" s="568"/>
      <c r="V9" s="568"/>
      <c r="W9" s="568"/>
      <c r="X9" s="568"/>
    </row>
    <row r="10" spans="2:41" x14ac:dyDescent="0.25">
      <c r="B10" s="946"/>
      <c r="C10" s="947"/>
      <c r="D10" s="585" t="s">
        <v>15</v>
      </c>
      <c r="E10" s="592">
        <v>3.7829999999999999</v>
      </c>
      <c r="F10" s="592">
        <v>3.9060000000000001</v>
      </c>
      <c r="G10" s="592">
        <v>3.516</v>
      </c>
      <c r="H10" s="592">
        <v>3.7709999999999999</v>
      </c>
      <c r="I10" s="592">
        <v>4.1120000000000001</v>
      </c>
      <c r="J10" s="593">
        <v>3.7530000000000001</v>
      </c>
      <c r="K10" s="592">
        <v>4.03</v>
      </c>
      <c r="L10" s="572"/>
      <c r="M10" s="568"/>
      <c r="N10" s="568" t="s">
        <v>244</v>
      </c>
      <c r="O10" s="568"/>
      <c r="P10" s="594">
        <f>K48</f>
        <v>1121</v>
      </c>
      <c r="Q10" s="568"/>
      <c r="R10" s="568" t="s">
        <v>244</v>
      </c>
      <c r="S10" s="568"/>
      <c r="T10" s="594">
        <f>J48</f>
        <v>607</v>
      </c>
      <c r="U10" s="568"/>
      <c r="V10" s="568"/>
      <c r="W10" s="568"/>
      <c r="X10" s="568"/>
    </row>
    <row r="11" spans="2:41" x14ac:dyDescent="0.25">
      <c r="B11" s="946"/>
      <c r="C11" s="947"/>
      <c r="D11" s="578" t="s">
        <v>16</v>
      </c>
      <c r="E11" s="595">
        <v>5.1829999999999998</v>
      </c>
      <c r="F11" s="595">
        <v>5.3369999999999997</v>
      </c>
      <c r="G11" s="595">
        <v>5.2149999999999999</v>
      </c>
      <c r="H11" s="595">
        <v>5.5149999999999997</v>
      </c>
      <c r="I11" s="595">
        <v>5.4569999999999999</v>
      </c>
      <c r="J11" s="596">
        <v>5.0659999999999998</v>
      </c>
      <c r="K11" s="595">
        <v>5.03</v>
      </c>
      <c r="L11" s="572"/>
      <c r="M11" s="568"/>
      <c r="N11" s="568" t="s">
        <v>245</v>
      </c>
      <c r="O11" s="568"/>
      <c r="P11" s="597">
        <f>P9/K29/1000</f>
        <v>2.2130559063940618E-4</v>
      </c>
      <c r="Q11" s="568"/>
      <c r="R11" s="568" t="s">
        <v>245</v>
      </c>
      <c r="S11" s="568"/>
      <c r="T11" s="597">
        <f>T9/J29/1000</f>
        <v>3.4442250358196941E-4</v>
      </c>
      <c r="U11" s="568"/>
      <c r="V11" s="568"/>
      <c r="W11" s="568"/>
      <c r="X11" s="568"/>
    </row>
    <row r="12" spans="2:41" x14ac:dyDescent="0.25">
      <c r="B12" s="577" t="s">
        <v>17</v>
      </c>
      <c r="C12" s="578" t="s">
        <v>13</v>
      </c>
      <c r="D12" s="578"/>
      <c r="E12" s="595">
        <v>12.1549847448478</v>
      </c>
      <c r="F12" s="595">
        <v>12.0716811320852</v>
      </c>
      <c r="G12" s="595">
        <v>12.170996896639499</v>
      </c>
      <c r="H12" s="595">
        <v>12.150881752843601</v>
      </c>
      <c r="I12" s="595">
        <v>12.2121141239347</v>
      </c>
      <c r="J12" s="596">
        <v>12.46</v>
      </c>
      <c r="K12" s="595">
        <v>12.71</v>
      </c>
      <c r="L12" s="572"/>
      <c r="M12" s="568"/>
      <c r="N12" s="582" t="s">
        <v>251</v>
      </c>
      <c r="O12" s="568"/>
      <c r="P12" s="583">
        <f>AN85</f>
        <v>20976.800000000003</v>
      </c>
      <c r="Q12" s="568"/>
      <c r="R12" s="582" t="s">
        <v>251</v>
      </c>
      <c r="S12" s="582"/>
      <c r="T12" s="583">
        <f>AM85</f>
        <v>6808.6200000000008</v>
      </c>
      <c r="U12" s="568"/>
      <c r="V12" s="568"/>
      <c r="W12" s="568"/>
      <c r="X12" s="568"/>
    </row>
    <row r="13" spans="2:41" x14ac:dyDescent="0.25">
      <c r="B13" s="572"/>
      <c r="C13" s="572"/>
      <c r="D13" s="572"/>
      <c r="E13" s="572"/>
      <c r="F13" s="572"/>
      <c r="G13" s="572"/>
      <c r="H13" s="572"/>
      <c r="I13" s="572"/>
      <c r="J13" s="572"/>
      <c r="K13" s="572"/>
      <c r="L13" s="572"/>
      <c r="M13" s="568"/>
      <c r="N13" s="568"/>
      <c r="O13" s="568"/>
      <c r="P13" s="568"/>
      <c r="Q13" s="568"/>
      <c r="R13" s="568"/>
      <c r="S13" s="568"/>
      <c r="T13" s="572"/>
      <c r="U13" s="572"/>
      <c r="V13" s="568"/>
      <c r="W13" s="568"/>
      <c r="X13" s="568"/>
    </row>
    <row r="14" spans="2:41" x14ac:dyDescent="0.25">
      <c r="B14" s="572" t="s">
        <v>18</v>
      </c>
      <c r="C14" s="572"/>
      <c r="D14" s="572"/>
      <c r="E14" s="572"/>
      <c r="F14" s="572"/>
      <c r="G14" s="572"/>
      <c r="H14" s="572"/>
      <c r="I14" s="572"/>
      <c r="J14" s="572"/>
      <c r="K14" s="572"/>
      <c r="L14" s="572"/>
      <c r="M14" s="568"/>
      <c r="N14" s="582" t="s">
        <v>284</v>
      </c>
      <c r="O14" s="568"/>
      <c r="P14" s="583">
        <f>AN73</f>
        <v>7710.5444000000007</v>
      </c>
      <c r="Q14" s="568" t="s">
        <v>285</v>
      </c>
      <c r="R14" s="582" t="s">
        <v>284</v>
      </c>
      <c r="S14" s="568"/>
      <c r="T14" s="583">
        <f>AM73</f>
        <v>7069.4143000000004</v>
      </c>
      <c r="U14" s="568" t="s">
        <v>285</v>
      </c>
      <c r="V14" s="568"/>
      <c r="W14" s="568"/>
      <c r="X14" s="568"/>
    </row>
    <row r="15" spans="2:41" ht="15" customHeight="1" x14ac:dyDescent="0.25">
      <c r="B15" s="943" t="s">
        <v>267</v>
      </c>
      <c r="C15" s="943"/>
      <c r="D15" s="943"/>
      <c r="E15" s="943"/>
      <c r="F15" s="943"/>
      <c r="G15" s="943"/>
      <c r="H15" s="943"/>
      <c r="I15" s="943"/>
      <c r="J15" s="943"/>
      <c r="K15" s="598"/>
      <c r="L15" s="572"/>
      <c r="M15" s="568"/>
      <c r="N15" s="582" t="s">
        <v>283</v>
      </c>
      <c r="O15" s="568"/>
      <c r="P15" s="583">
        <f>AN69</f>
        <v>33123.598299999998</v>
      </c>
      <c r="Q15" s="568" t="s">
        <v>285</v>
      </c>
      <c r="R15" s="582" t="s">
        <v>283</v>
      </c>
      <c r="S15" s="568"/>
      <c r="T15" s="583">
        <f>AM69</f>
        <v>30543.346600000004</v>
      </c>
      <c r="U15" s="568" t="s">
        <v>285</v>
      </c>
      <c r="V15" s="568"/>
      <c r="W15" s="568"/>
      <c r="X15" s="568"/>
    </row>
    <row r="16" spans="2:41" x14ac:dyDescent="0.25">
      <c r="B16" s="943" t="s">
        <v>372</v>
      </c>
      <c r="C16" s="943"/>
      <c r="D16" s="943"/>
      <c r="E16" s="943"/>
      <c r="F16" s="943"/>
      <c r="G16" s="943"/>
      <c r="H16" s="943"/>
      <c r="I16" s="943"/>
      <c r="J16" s="943"/>
      <c r="K16" s="598"/>
      <c r="L16" s="572"/>
      <c r="M16" s="568"/>
      <c r="N16" s="568" t="s">
        <v>246</v>
      </c>
      <c r="O16" s="568"/>
      <c r="P16" s="599">
        <f>P15/K5/1000</f>
        <v>2.2891222045611611E-2</v>
      </c>
      <c r="Q16" s="568"/>
      <c r="R16" s="568" t="s">
        <v>246</v>
      </c>
      <c r="S16" s="568"/>
      <c r="T16" s="599">
        <f>T15/J5/1000</f>
        <v>2.1284562090592339E-2</v>
      </c>
      <c r="U16" s="568"/>
      <c r="V16" s="568"/>
      <c r="W16" s="568"/>
      <c r="X16" s="568"/>
    </row>
    <row r="17" spans="2:24" x14ac:dyDescent="0.25">
      <c r="B17" s="943" t="s">
        <v>373</v>
      </c>
      <c r="C17" s="943"/>
      <c r="D17" s="943"/>
      <c r="E17" s="943"/>
      <c r="F17" s="943"/>
      <c r="G17" s="943"/>
      <c r="H17" s="943"/>
      <c r="I17" s="943"/>
      <c r="J17" s="943"/>
      <c r="K17" s="598"/>
      <c r="L17" s="572"/>
      <c r="M17" s="568"/>
      <c r="N17" s="568"/>
      <c r="O17" s="568"/>
      <c r="P17" s="568"/>
      <c r="Q17" s="568"/>
      <c r="R17" s="568"/>
      <c r="S17" s="568"/>
      <c r="T17" s="572"/>
      <c r="U17" s="572"/>
      <c r="V17" s="568"/>
      <c r="W17" s="568"/>
      <c r="X17" s="568"/>
    </row>
    <row r="18" spans="2:24" x14ac:dyDescent="0.25">
      <c r="B18" s="943" t="s">
        <v>374</v>
      </c>
      <c r="C18" s="943"/>
      <c r="D18" s="943"/>
      <c r="E18" s="943"/>
      <c r="F18" s="943"/>
      <c r="G18" s="943"/>
      <c r="H18" s="943"/>
      <c r="I18" s="943"/>
      <c r="J18" s="943"/>
      <c r="K18" s="598"/>
      <c r="L18" s="572"/>
      <c r="M18" s="568"/>
      <c r="N18" s="582" t="s">
        <v>163</v>
      </c>
      <c r="O18" s="568"/>
      <c r="P18" s="583">
        <f>AN81</f>
        <v>305797.60769999999</v>
      </c>
      <c r="Q18" s="568"/>
      <c r="R18" s="582" t="s">
        <v>163</v>
      </c>
      <c r="S18" s="568"/>
      <c r="T18" s="583">
        <f>AM81</f>
        <v>369361.38589999999</v>
      </c>
      <c r="U18" s="568"/>
      <c r="V18" s="568"/>
      <c r="W18" s="568"/>
      <c r="X18" s="568"/>
    </row>
    <row r="19" spans="2:24" x14ac:dyDescent="0.25">
      <c r="B19" s="943" t="s">
        <v>375</v>
      </c>
      <c r="C19" s="943"/>
      <c r="D19" s="943"/>
      <c r="E19" s="943"/>
      <c r="F19" s="943"/>
      <c r="G19" s="943"/>
      <c r="H19" s="943"/>
      <c r="I19" s="943"/>
      <c r="J19" s="943"/>
      <c r="K19" s="598"/>
      <c r="L19" s="572"/>
      <c r="M19" s="568"/>
      <c r="N19" s="568" t="s">
        <v>245</v>
      </c>
      <c r="O19" s="568"/>
      <c r="P19" s="599">
        <f>P18/K7/1000</f>
        <v>0.20251497198675497</v>
      </c>
      <c r="Q19" s="568"/>
      <c r="R19" s="568" t="s">
        <v>245</v>
      </c>
      <c r="S19" s="568"/>
      <c r="T19" s="599">
        <f>T18/J7/1000</f>
        <v>0.23937873357096565</v>
      </c>
      <c r="U19" s="568"/>
      <c r="V19" s="568"/>
      <c r="W19" s="568"/>
      <c r="X19" s="568"/>
    </row>
    <row r="20" spans="2:24" x14ac:dyDescent="0.25">
      <c r="B20" s="943" t="s">
        <v>376</v>
      </c>
      <c r="C20" s="943"/>
      <c r="D20" s="943"/>
      <c r="E20" s="943"/>
      <c r="F20" s="943"/>
      <c r="G20" s="943"/>
      <c r="H20" s="943"/>
      <c r="I20" s="943"/>
      <c r="J20" s="943"/>
      <c r="K20" s="598"/>
      <c r="L20" s="572"/>
      <c r="M20" s="568"/>
      <c r="N20" s="568" t="s">
        <v>248</v>
      </c>
      <c r="O20" s="568"/>
      <c r="P20" s="600">
        <f>LINEST(E77:AF77,E51:AF51)/AVERAGE(E77:AF77)</f>
        <v>-5.9721017101202409E-3</v>
      </c>
      <c r="Q20" s="568"/>
      <c r="R20" s="568"/>
      <c r="S20" s="568"/>
      <c r="T20" s="568"/>
      <c r="U20" s="600"/>
      <c r="V20" s="568"/>
      <c r="W20" s="568"/>
      <c r="X20" s="568"/>
    </row>
    <row r="21" spans="2:24" x14ac:dyDescent="0.25">
      <c r="B21" s="943" t="s">
        <v>377</v>
      </c>
      <c r="C21" s="943"/>
      <c r="D21" s="943"/>
      <c r="E21" s="943"/>
      <c r="F21" s="943"/>
      <c r="G21" s="943"/>
      <c r="H21" s="943"/>
      <c r="I21" s="943"/>
      <c r="J21" s="943"/>
      <c r="K21" s="598"/>
      <c r="L21" s="572"/>
      <c r="M21" s="568"/>
      <c r="N21" s="582" t="s">
        <v>250</v>
      </c>
      <c r="O21" s="568"/>
      <c r="P21" s="583">
        <f>AN77</f>
        <v>294390.39240000001</v>
      </c>
      <c r="Q21" s="568"/>
      <c r="R21" s="582" t="s">
        <v>250</v>
      </c>
      <c r="S21" s="568"/>
      <c r="T21" s="583">
        <f>AM77</f>
        <v>307957.19630000007</v>
      </c>
      <c r="U21" s="568"/>
      <c r="V21" s="568"/>
      <c r="W21" s="568"/>
      <c r="X21" s="568"/>
    </row>
    <row r="22" spans="2:24" x14ac:dyDescent="0.25">
      <c r="B22" s="943" t="s">
        <v>378</v>
      </c>
      <c r="C22" s="943"/>
      <c r="D22" s="943"/>
      <c r="E22" s="943"/>
      <c r="F22" s="943"/>
      <c r="G22" s="943"/>
      <c r="H22" s="943"/>
      <c r="I22" s="943"/>
      <c r="J22" s="943"/>
      <c r="K22" s="598"/>
      <c r="L22" s="572"/>
      <c r="M22" s="568"/>
      <c r="N22" s="568" t="s">
        <v>246</v>
      </c>
      <c r="O22" s="568"/>
      <c r="P22" s="599">
        <f>P21/K5/1000</f>
        <v>0.20344878534899793</v>
      </c>
      <c r="Q22" s="568"/>
      <c r="R22" s="568" t="s">
        <v>246</v>
      </c>
      <c r="S22" s="568"/>
      <c r="T22" s="599">
        <f>T21/J5/1000</f>
        <v>0.21460431797909413</v>
      </c>
      <c r="U22" s="568"/>
      <c r="V22" s="568"/>
      <c r="W22" s="568"/>
      <c r="X22" s="568"/>
    </row>
    <row r="23" spans="2:24" x14ac:dyDescent="0.25">
      <c r="B23" s="572"/>
      <c r="C23" s="572"/>
      <c r="D23" s="572"/>
      <c r="E23" s="572"/>
      <c r="F23" s="572"/>
      <c r="G23" s="572"/>
      <c r="H23" s="572"/>
      <c r="I23" s="572"/>
      <c r="J23" s="572"/>
      <c r="K23" s="572"/>
      <c r="L23" s="572"/>
      <c r="M23" s="568"/>
      <c r="N23" s="568" t="s">
        <v>248</v>
      </c>
      <c r="O23" s="568"/>
      <c r="P23" s="600">
        <f>LINEST(F81:AF81,F51:AF51)/AVERAGE(F81:AF81)</f>
        <v>-3.3062836992861895E-2</v>
      </c>
      <c r="Q23" s="568"/>
      <c r="R23" s="568"/>
      <c r="S23" s="568"/>
      <c r="T23" s="568"/>
      <c r="U23" s="600"/>
      <c r="V23" s="568"/>
      <c r="W23" s="568"/>
      <c r="X23" s="568"/>
    </row>
    <row r="24" spans="2:24" x14ac:dyDescent="0.25">
      <c r="B24" s="601" t="s">
        <v>19</v>
      </c>
      <c r="C24" s="570"/>
      <c r="D24" s="570"/>
      <c r="E24" s="602"/>
      <c r="F24" s="602"/>
      <c r="G24" s="602"/>
      <c r="H24" s="602"/>
      <c r="I24" s="602"/>
      <c r="J24" s="602"/>
      <c r="K24" s="602"/>
      <c r="L24" s="572"/>
      <c r="M24" s="568"/>
      <c r="N24" s="582" t="s">
        <v>321</v>
      </c>
      <c r="O24" s="568"/>
      <c r="P24" s="583">
        <f>P21-P18</f>
        <v>-11407.215299999982</v>
      </c>
      <c r="Q24" s="568"/>
      <c r="R24" s="582" t="s">
        <v>321</v>
      </c>
      <c r="S24" s="568"/>
      <c r="T24" s="583">
        <f>T21-T18</f>
        <v>-61404.189599999925</v>
      </c>
      <c r="U24" s="568"/>
      <c r="V24" s="568"/>
      <c r="W24" s="568"/>
      <c r="X24" s="568"/>
    </row>
    <row r="25" spans="2:24" x14ac:dyDescent="0.25">
      <c r="B25" s="577"/>
      <c r="C25" s="572"/>
      <c r="D25" s="572"/>
      <c r="E25" s="945" t="s">
        <v>20</v>
      </c>
      <c r="F25" s="945"/>
      <c r="G25" s="945"/>
      <c r="H25" s="945"/>
      <c r="I25" s="945"/>
      <c r="J25" s="945"/>
      <c r="K25" s="571"/>
      <c r="L25" s="572"/>
      <c r="M25" s="568"/>
      <c r="N25" s="568"/>
      <c r="O25" s="568"/>
      <c r="P25" s="568"/>
      <c r="Q25" s="568"/>
      <c r="R25" s="568"/>
      <c r="S25" s="568"/>
      <c r="T25" s="572"/>
      <c r="U25" s="572"/>
      <c r="V25" s="568"/>
      <c r="W25" s="568"/>
      <c r="X25" s="568"/>
    </row>
    <row r="26" spans="2:24" x14ac:dyDescent="0.25">
      <c r="B26" s="528" t="s">
        <v>2</v>
      </c>
      <c r="C26" s="574" t="s">
        <v>3</v>
      </c>
      <c r="D26" s="574"/>
      <c r="E26" s="574">
        <v>2014</v>
      </c>
      <c r="F26" s="574">
        <v>2015</v>
      </c>
      <c r="G26" s="574">
        <v>2016</v>
      </c>
      <c r="H26" s="574">
        <v>2017</v>
      </c>
      <c r="I26" s="574">
        <v>2018</v>
      </c>
      <c r="J26" s="574">
        <v>2019</v>
      </c>
      <c r="K26" s="528">
        <v>2020</v>
      </c>
      <c r="L26" s="572"/>
      <c r="M26" s="568"/>
      <c r="N26" s="582" t="s">
        <v>162</v>
      </c>
      <c r="O26" s="568"/>
      <c r="P26" s="583">
        <f>AN97</f>
        <v>323307.01</v>
      </c>
      <c r="Q26" s="568"/>
      <c r="R26" s="582" t="s">
        <v>162</v>
      </c>
      <c r="S26" s="582"/>
      <c r="T26" s="583">
        <f>AM97</f>
        <v>405201.94000000006</v>
      </c>
      <c r="U26" s="568"/>
      <c r="V26" s="568"/>
      <c r="W26" s="568"/>
      <c r="X26" s="568"/>
    </row>
    <row r="27" spans="2:24" x14ac:dyDescent="0.25">
      <c r="B27" s="577" t="s">
        <v>4</v>
      </c>
      <c r="C27" s="578" t="s">
        <v>5</v>
      </c>
      <c r="D27" s="578"/>
      <c r="E27" s="603" t="s">
        <v>23</v>
      </c>
      <c r="F27" s="604" t="s">
        <v>23</v>
      </c>
      <c r="G27" s="579">
        <v>6888</v>
      </c>
      <c r="H27" s="579">
        <v>6702</v>
      </c>
      <c r="I27" s="579">
        <v>6447</v>
      </c>
      <c r="J27" s="579">
        <v>6420</v>
      </c>
      <c r="K27" s="590">
        <v>6697</v>
      </c>
      <c r="L27" s="581">
        <f>LINEST(G27:K27,$G$4:$K$4)/AVERAGE(G27:K27)</f>
        <v>-1.0013874645593293E-2</v>
      </c>
      <c r="M27" s="568"/>
      <c r="N27" s="568" t="s">
        <v>245</v>
      </c>
      <c r="O27" s="568"/>
      <c r="P27" s="599">
        <f>P26/K29/1000</f>
        <v>4.5369871724640874E-2</v>
      </c>
      <c r="Q27" s="568"/>
      <c r="R27" s="568" t="s">
        <v>245</v>
      </c>
      <c r="S27" s="568"/>
      <c r="T27" s="599">
        <f>T26/J29/1000</f>
        <v>5.5022479087170138E-2</v>
      </c>
      <c r="U27" s="568"/>
      <c r="V27" s="568"/>
      <c r="W27" s="568"/>
      <c r="X27" s="568"/>
    </row>
    <row r="28" spans="2:24" x14ac:dyDescent="0.25">
      <c r="B28" s="577" t="s">
        <v>6</v>
      </c>
      <c r="C28" s="585">
        <v>1000</v>
      </c>
      <c r="D28" s="585" t="s">
        <v>21</v>
      </c>
      <c r="E28" s="579">
        <v>29994447.368999999</v>
      </c>
      <c r="F28" s="579">
        <v>31823086.590999998</v>
      </c>
      <c r="G28" s="579">
        <v>31378913.912</v>
      </c>
      <c r="H28" s="579">
        <v>33798776.872000001</v>
      </c>
      <c r="I28" s="605">
        <v>32039736.607999999</v>
      </c>
      <c r="J28" s="603" t="s">
        <v>23</v>
      </c>
      <c r="K28" s="603" t="s">
        <v>23</v>
      </c>
      <c r="L28" s="572"/>
      <c r="M28" s="568"/>
      <c r="N28" s="568" t="s">
        <v>249</v>
      </c>
      <c r="O28" s="568"/>
      <c r="P28" s="594">
        <f>AN100</f>
        <v>263981.90000000002</v>
      </c>
      <c r="Q28" s="568"/>
      <c r="R28" s="568" t="s">
        <v>249</v>
      </c>
      <c r="S28" s="568"/>
      <c r="T28" s="594">
        <f>AM100</f>
        <v>336448.84</v>
      </c>
      <c r="U28" s="568"/>
      <c r="V28" s="568"/>
      <c r="W28" s="568"/>
      <c r="X28" s="568"/>
    </row>
    <row r="29" spans="2:24" x14ac:dyDescent="0.25">
      <c r="B29" s="577" t="s">
        <v>8</v>
      </c>
      <c r="C29" s="578" t="s">
        <v>9</v>
      </c>
      <c r="D29" s="578"/>
      <c r="E29" s="590">
        <v>6928.2996744800002</v>
      </c>
      <c r="F29" s="590">
        <v>7156.1467109199984</v>
      </c>
      <c r="G29" s="590">
        <v>7277.7069923677036</v>
      </c>
      <c r="H29" s="590">
        <v>7061.1553890568766</v>
      </c>
      <c r="I29" s="590">
        <v>7464.7446562642135</v>
      </c>
      <c r="J29" s="606">
        <v>7364.2981327332263</v>
      </c>
      <c r="K29" s="606">
        <v>7126.02874352868</v>
      </c>
      <c r="L29" s="581">
        <f>LINEST(E29:K29,$E$4:$K$4)/AVERAGE(E29:K29)</f>
        <v>5.9377043662339939E-3</v>
      </c>
      <c r="M29" s="568"/>
      <c r="N29" s="568" t="s">
        <v>248</v>
      </c>
      <c r="O29" s="568"/>
      <c r="P29" s="600">
        <f>LINEST(E97:AF97,E51:AF51)/AVERAGE(E97:AF97)</f>
        <v>7.6909809069339681E-3</v>
      </c>
      <c r="Q29" s="568"/>
      <c r="R29" s="568"/>
      <c r="S29" s="568"/>
      <c r="T29" s="568"/>
      <c r="U29" s="600"/>
      <c r="V29" s="568"/>
      <c r="W29" s="568"/>
      <c r="X29" s="568"/>
    </row>
    <row r="30" spans="2:24" x14ac:dyDescent="0.25">
      <c r="B30" s="577" t="s">
        <v>22</v>
      </c>
      <c r="C30" s="585">
        <v>1000</v>
      </c>
      <c r="D30" s="585"/>
      <c r="E30" s="603" t="s">
        <v>23</v>
      </c>
      <c r="F30" s="603" t="s">
        <v>23</v>
      </c>
      <c r="G30" s="603" t="s">
        <v>23</v>
      </c>
      <c r="H30" s="603" t="s">
        <v>23</v>
      </c>
      <c r="I30" s="603" t="s">
        <v>23</v>
      </c>
      <c r="J30" s="603" t="s">
        <v>23</v>
      </c>
      <c r="K30" s="603" t="s">
        <v>23</v>
      </c>
      <c r="L30" s="572"/>
      <c r="M30" s="568"/>
      <c r="N30" s="582" t="s">
        <v>205</v>
      </c>
      <c r="O30" s="568"/>
      <c r="P30" s="583">
        <f>AN93</f>
        <v>816642.32000000007</v>
      </c>
      <c r="Q30" s="568"/>
      <c r="R30" s="582" t="s">
        <v>205</v>
      </c>
      <c r="S30" s="582"/>
      <c r="T30" s="583">
        <f>AM93</f>
        <v>801190.78</v>
      </c>
      <c r="U30" s="568"/>
      <c r="V30" s="568"/>
      <c r="W30" s="568"/>
      <c r="X30" s="568"/>
    </row>
    <row r="31" spans="2:24" x14ac:dyDescent="0.25">
      <c r="B31" s="577" t="s">
        <v>24</v>
      </c>
      <c r="C31" s="578" t="s">
        <v>13</v>
      </c>
      <c r="D31" s="578" t="s">
        <v>25</v>
      </c>
      <c r="E31" s="595">
        <v>3.9593788631439502</v>
      </c>
      <c r="F31" s="595">
        <v>4.10224554578922</v>
      </c>
      <c r="G31" s="595">
        <v>3.9170239575327099</v>
      </c>
      <c r="H31" s="595">
        <v>3.97415509746155</v>
      </c>
      <c r="I31" s="595">
        <v>4.1993654257117603</v>
      </c>
      <c r="J31" s="607" t="s">
        <v>23</v>
      </c>
      <c r="K31" s="603" t="s">
        <v>23</v>
      </c>
      <c r="L31" s="572"/>
      <c r="M31" s="568"/>
      <c r="N31" s="568" t="s">
        <v>246</v>
      </c>
      <c r="O31" s="568"/>
      <c r="P31" s="599">
        <f>P30/K27/1000</f>
        <v>0.12194151411079589</v>
      </c>
      <c r="Q31" s="568"/>
      <c r="R31" s="568" t="s">
        <v>246</v>
      </c>
      <c r="S31" s="568"/>
      <c r="T31" s="599">
        <f>T30/J27/1000</f>
        <v>0.12479607165109034</v>
      </c>
      <c r="U31" s="568"/>
      <c r="V31" s="568"/>
      <c r="W31" s="568"/>
      <c r="X31" s="568"/>
    </row>
    <row r="32" spans="2:24" x14ac:dyDescent="0.25">
      <c r="B32" s="577" t="s">
        <v>26</v>
      </c>
      <c r="C32" s="578" t="s">
        <v>27</v>
      </c>
      <c r="D32" s="578">
        <v>102.43</v>
      </c>
      <c r="E32" s="595" t="s">
        <v>23</v>
      </c>
      <c r="F32" s="595" t="s">
        <v>23</v>
      </c>
      <c r="G32" s="595" t="s">
        <v>23</v>
      </c>
      <c r="H32" s="608">
        <v>101.69</v>
      </c>
      <c r="I32" s="608">
        <v>102.47</v>
      </c>
      <c r="J32" s="608">
        <v>103.76</v>
      </c>
      <c r="K32" s="609">
        <v>105.54</v>
      </c>
      <c r="L32" s="572"/>
      <c r="M32" s="610"/>
      <c r="N32" s="568" t="s">
        <v>249</v>
      </c>
      <c r="O32" s="568"/>
      <c r="P32" s="594">
        <f>AN96</f>
        <v>446366.96000000008</v>
      </c>
      <c r="Q32" s="568"/>
      <c r="R32" s="568" t="s">
        <v>249</v>
      </c>
      <c r="S32" s="568"/>
      <c r="T32" s="594">
        <f>AM96</f>
        <v>407545.97</v>
      </c>
      <c r="U32" s="568"/>
      <c r="V32" s="568"/>
      <c r="W32" s="568"/>
      <c r="X32" s="568"/>
    </row>
    <row r="33" spans="1:76" x14ac:dyDescent="0.25">
      <c r="B33" s="572"/>
      <c r="C33" s="572"/>
      <c r="D33" s="572"/>
      <c r="E33" s="572"/>
      <c r="F33" s="572"/>
      <c r="G33" s="572"/>
      <c r="H33" s="572"/>
      <c r="I33" s="572"/>
      <c r="J33" s="572"/>
      <c r="K33" s="572"/>
      <c r="L33" s="572"/>
      <c r="M33" s="610"/>
      <c r="N33" s="568" t="s">
        <v>248</v>
      </c>
      <c r="O33" s="568"/>
      <c r="P33" s="600">
        <f>LINEST(E93:AF93,E51:AF51)/AVERAGE(E93:AF93)</f>
        <v>2.3184738228805263E-2</v>
      </c>
      <c r="Q33" s="568"/>
      <c r="R33" s="568"/>
      <c r="S33" s="568"/>
      <c r="T33" s="568"/>
      <c r="U33" s="600"/>
      <c r="V33" s="568"/>
      <c r="W33" s="568"/>
      <c r="X33" s="568"/>
    </row>
    <row r="34" spans="1:76" x14ac:dyDescent="0.25">
      <c r="B34" s="572" t="s">
        <v>18</v>
      </c>
      <c r="C34" s="572"/>
      <c r="D34" s="572"/>
      <c r="E34" s="572"/>
      <c r="F34" s="572"/>
      <c r="G34" s="572"/>
      <c r="H34" s="572"/>
      <c r="I34" s="572"/>
      <c r="J34" s="572"/>
      <c r="K34" s="572"/>
      <c r="L34" s="572"/>
      <c r="M34" s="610"/>
      <c r="N34" s="568"/>
      <c r="O34" s="568"/>
      <c r="P34" s="572"/>
      <c r="Q34" s="568"/>
      <c r="R34" s="568"/>
      <c r="S34" s="568"/>
      <c r="T34" s="568"/>
      <c r="U34" s="568"/>
      <c r="V34" s="568"/>
      <c r="W34" s="568"/>
      <c r="X34" s="568"/>
    </row>
    <row r="35" spans="1:76" ht="15" customHeight="1" x14ac:dyDescent="0.25">
      <c r="B35" s="943" t="s">
        <v>268</v>
      </c>
      <c r="C35" s="943"/>
      <c r="D35" s="943"/>
      <c r="E35" s="943"/>
      <c r="F35" s="943"/>
      <c r="G35" s="943"/>
      <c r="H35" s="943"/>
      <c r="I35" s="943"/>
      <c r="J35" s="943"/>
      <c r="K35" s="598"/>
      <c r="L35" s="572"/>
      <c r="M35" s="610"/>
      <c r="N35" s="568"/>
      <c r="O35" s="568"/>
      <c r="P35" s="568"/>
      <c r="Q35" s="568"/>
      <c r="R35" s="568"/>
      <c r="S35" s="568"/>
      <c r="T35" s="568"/>
      <c r="U35" s="568"/>
      <c r="V35" s="568"/>
      <c r="W35" s="568"/>
      <c r="X35" s="568"/>
    </row>
    <row r="36" spans="1:76" x14ac:dyDescent="0.25">
      <c r="B36" s="943" t="s">
        <v>379</v>
      </c>
      <c r="C36" s="943"/>
      <c r="D36" s="943"/>
      <c r="E36" s="943"/>
      <c r="F36" s="943"/>
      <c r="G36" s="943"/>
      <c r="H36" s="943"/>
      <c r="I36" s="943"/>
      <c r="J36" s="943"/>
      <c r="K36" s="598"/>
      <c r="L36" s="572"/>
      <c r="M36" s="610"/>
      <c r="N36" s="568"/>
      <c r="O36" s="568"/>
      <c r="P36" s="568"/>
      <c r="Q36" s="568"/>
      <c r="R36" s="568"/>
      <c r="S36" s="568"/>
      <c r="T36" s="568"/>
      <c r="U36" s="568"/>
      <c r="V36" s="568"/>
      <c r="W36" s="568"/>
      <c r="X36" s="568"/>
    </row>
    <row r="37" spans="1:76" x14ac:dyDescent="0.25">
      <c r="B37" s="944" t="s">
        <v>28</v>
      </c>
      <c r="C37" s="944"/>
      <c r="D37" s="944"/>
      <c r="E37" s="944"/>
      <c r="F37" s="944"/>
      <c r="G37" s="944"/>
      <c r="H37" s="944"/>
      <c r="I37" s="944"/>
      <c r="J37" s="944"/>
      <c r="K37" s="342"/>
      <c r="L37" s="68"/>
      <c r="M37" s="11"/>
    </row>
    <row r="38" spans="1:76" x14ac:dyDescent="0.25">
      <c r="B38" s="944" t="s">
        <v>29</v>
      </c>
      <c r="C38" s="944"/>
      <c r="D38" s="944"/>
      <c r="E38" s="944"/>
      <c r="F38" s="944"/>
      <c r="G38" s="944"/>
      <c r="H38" s="944"/>
      <c r="I38" s="944"/>
      <c r="J38" s="227"/>
      <c r="K38" s="227"/>
      <c r="L38" s="68"/>
      <c r="M38" s="11"/>
    </row>
    <row r="39" spans="1:76" x14ac:dyDescent="0.25">
      <c r="B39" s="944" t="s">
        <v>30</v>
      </c>
      <c r="C39" s="944"/>
      <c r="D39" s="944"/>
      <c r="E39" s="944"/>
      <c r="F39" s="944"/>
      <c r="G39" s="944"/>
      <c r="H39" s="944"/>
      <c r="I39" s="944"/>
      <c r="J39" s="944"/>
      <c r="K39" s="342"/>
      <c r="L39" s="68"/>
      <c r="M39" s="11"/>
    </row>
    <row r="40" spans="1:76" x14ac:dyDescent="0.25">
      <c r="B40" s="944"/>
      <c r="C40" s="944"/>
      <c r="D40" s="944"/>
      <c r="E40" s="944"/>
      <c r="F40" s="944"/>
      <c r="G40" s="944"/>
      <c r="H40" s="944"/>
      <c r="I40" s="944"/>
      <c r="J40" s="944"/>
      <c r="K40" s="342"/>
      <c r="L40" s="68"/>
      <c r="M40" s="11"/>
    </row>
    <row r="41" spans="1:76" ht="18.75" x14ac:dyDescent="0.3">
      <c r="A41" s="568"/>
      <c r="B41" s="953" t="s">
        <v>31</v>
      </c>
      <c r="C41" s="953"/>
      <c r="D41" s="953"/>
      <c r="E41" s="953"/>
      <c r="F41" s="953"/>
      <c r="G41" s="953"/>
      <c r="H41" s="953"/>
      <c r="I41" s="953"/>
      <c r="J41" s="953"/>
      <c r="K41" s="611"/>
      <c r="L41" s="572"/>
      <c r="M41" s="610"/>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c r="AU41" s="568"/>
      <c r="AV41" s="568"/>
      <c r="AW41" s="568"/>
      <c r="AX41" s="568"/>
      <c r="AY41" s="568"/>
      <c r="AZ41" s="568"/>
      <c r="BA41" s="568"/>
      <c r="BB41" s="568"/>
      <c r="BC41" s="568"/>
      <c r="BD41" s="568"/>
      <c r="BE41" s="568"/>
      <c r="BF41" s="568"/>
      <c r="BG41" s="568"/>
      <c r="BH41" s="568"/>
      <c r="BI41" s="568"/>
      <c r="BJ41" s="568"/>
      <c r="BK41" s="568"/>
      <c r="BL41" s="568"/>
      <c r="BM41" s="568"/>
      <c r="BN41" s="568"/>
      <c r="BO41" s="568"/>
      <c r="BP41" s="568"/>
      <c r="BQ41" s="568"/>
      <c r="BR41" s="568"/>
      <c r="BS41" s="568"/>
      <c r="BT41" s="568"/>
      <c r="BU41" s="568"/>
      <c r="BV41" s="568"/>
      <c r="BW41" s="568"/>
      <c r="BX41" s="568"/>
    </row>
    <row r="42" spans="1:76" x14ac:dyDescent="0.25">
      <c r="A42" s="568"/>
      <c r="B42" s="568"/>
      <c r="C42" s="568"/>
      <c r="D42" s="568"/>
      <c r="E42" s="568"/>
      <c r="F42" s="568"/>
      <c r="G42" s="568"/>
      <c r="H42" s="568"/>
      <c r="I42" s="568"/>
      <c r="J42" s="568"/>
      <c r="K42" s="568"/>
      <c r="L42" s="610" t="s">
        <v>168</v>
      </c>
      <c r="M42" s="610"/>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N42" s="568"/>
      <c r="AO42" s="568"/>
      <c r="AP42" s="568"/>
      <c r="AQ42" s="568"/>
      <c r="AR42" s="568"/>
      <c r="AS42" s="568"/>
      <c r="AT42" s="568"/>
      <c r="AU42" s="568"/>
      <c r="AV42" s="568"/>
      <c r="AW42" s="568"/>
      <c r="AX42" s="568"/>
      <c r="AY42" s="568"/>
      <c r="AZ42" s="568"/>
      <c r="BA42" s="568"/>
      <c r="BB42" s="568"/>
      <c r="BC42" s="568"/>
      <c r="BD42" s="568"/>
      <c r="BE42" s="568"/>
      <c r="BF42" s="568"/>
      <c r="BG42" s="568"/>
      <c r="BH42" s="568"/>
      <c r="BI42" s="568"/>
      <c r="BJ42" s="568"/>
      <c r="BK42" s="568"/>
      <c r="BL42" s="568"/>
      <c r="BM42" s="568"/>
      <c r="BN42" s="568"/>
      <c r="BO42" s="568"/>
      <c r="BP42" s="568"/>
      <c r="BQ42" s="568"/>
      <c r="BR42" s="568"/>
      <c r="BS42" s="568"/>
      <c r="BT42" s="568"/>
      <c r="BU42" s="568"/>
      <c r="BV42" s="568"/>
      <c r="BW42" s="568"/>
      <c r="BX42" s="568"/>
    </row>
    <row r="43" spans="1:76" x14ac:dyDescent="0.25">
      <c r="A43" s="568"/>
      <c r="B43" s="567" t="s">
        <v>179</v>
      </c>
      <c r="C43" s="568"/>
      <c r="D43" s="568"/>
      <c r="E43" s="568"/>
      <c r="F43" s="568"/>
      <c r="G43" s="568"/>
      <c r="H43" s="568"/>
      <c r="I43" s="568"/>
      <c r="J43" s="568"/>
      <c r="K43" s="568"/>
      <c r="L43" s="610"/>
      <c r="M43" s="610"/>
      <c r="N43" s="568"/>
      <c r="O43" s="568"/>
      <c r="P43" s="568"/>
      <c r="Q43" s="568"/>
      <c r="R43" s="568"/>
      <c r="S43" s="568"/>
      <c r="T43" s="568"/>
      <c r="U43" s="568"/>
      <c r="V43" s="568"/>
      <c r="W43" s="568"/>
      <c r="X43" s="568"/>
      <c r="Y43" s="568"/>
      <c r="Z43" s="568"/>
      <c r="AA43" s="568"/>
      <c r="AB43" s="568"/>
      <c r="AC43" s="568"/>
      <c r="AD43" s="568"/>
      <c r="AE43" s="568"/>
      <c r="AF43" s="568"/>
      <c r="AG43" s="568"/>
      <c r="AH43" s="568"/>
      <c r="AI43" s="568"/>
      <c r="AJ43" s="568"/>
      <c r="AK43" s="568"/>
      <c r="AL43" s="568"/>
      <c r="AM43" s="568"/>
      <c r="AN43" s="568"/>
      <c r="AO43" s="568"/>
      <c r="AP43" s="568"/>
      <c r="AQ43" s="568"/>
      <c r="AR43" s="568"/>
      <c r="AS43" s="568"/>
      <c r="AT43" s="568"/>
      <c r="AU43" s="568"/>
      <c r="AV43" s="568"/>
      <c r="AW43" s="568"/>
      <c r="AX43" s="568"/>
      <c r="AY43" s="568"/>
      <c r="AZ43" s="568"/>
      <c r="BA43" s="568"/>
      <c r="BB43" s="568"/>
      <c r="BC43" s="568"/>
      <c r="BD43" s="568"/>
      <c r="BE43" s="568"/>
      <c r="BF43" s="568"/>
      <c r="BG43" s="568"/>
      <c r="BH43" s="568"/>
      <c r="BI43" s="568"/>
      <c r="BJ43" s="568"/>
      <c r="BK43" s="568"/>
      <c r="BL43" s="568"/>
      <c r="BM43" s="568"/>
      <c r="BN43" s="568"/>
      <c r="BO43" s="568"/>
      <c r="BP43" s="568"/>
      <c r="BQ43" s="568"/>
      <c r="BR43" s="568"/>
      <c r="BS43" s="568"/>
      <c r="BT43" s="568"/>
      <c r="BU43" s="568"/>
      <c r="BV43" s="568"/>
      <c r="BW43" s="568"/>
      <c r="BX43" s="568"/>
    </row>
    <row r="44" spans="1:76" ht="15.75" thickBot="1" x14ac:dyDescent="0.3">
      <c r="A44" s="568"/>
      <c r="B44" s="568"/>
      <c r="C44" s="568"/>
      <c r="D44" s="568"/>
      <c r="E44" s="568"/>
      <c r="F44" s="568"/>
      <c r="G44" s="568"/>
      <c r="H44" s="568"/>
      <c r="I44" s="568"/>
      <c r="J44" s="568"/>
      <c r="K44" s="568"/>
      <c r="L44" s="610"/>
      <c r="M44" s="610"/>
      <c r="N44" s="568"/>
      <c r="O44" s="568"/>
      <c r="P44" s="568"/>
      <c r="Q44" s="568"/>
      <c r="R44" s="568"/>
      <c r="S44" s="568"/>
      <c r="T44" s="568"/>
      <c r="U44" s="568"/>
      <c r="V44" s="568"/>
      <c r="W44" s="568"/>
      <c r="X44" s="568"/>
      <c r="Y44" s="568"/>
      <c r="Z44" s="568"/>
      <c r="AA44" s="568"/>
      <c r="AB44" s="568"/>
      <c r="AC44" s="568"/>
      <c r="AD44" s="568"/>
      <c r="AE44" s="568"/>
      <c r="AF44" s="568"/>
      <c r="AG44" s="568"/>
      <c r="AH44" s="568"/>
      <c r="AI44" s="568"/>
      <c r="AJ44" s="568"/>
      <c r="AK44" s="568"/>
      <c r="AL44" s="568"/>
      <c r="AM44" s="568"/>
      <c r="AN44" s="568"/>
      <c r="AO44" s="568"/>
      <c r="AP44" s="568"/>
      <c r="AQ44" s="568"/>
      <c r="AR44" s="568"/>
      <c r="AS44" s="568"/>
      <c r="AT44" s="568"/>
      <c r="AU44" s="568"/>
      <c r="AV44" s="568"/>
      <c r="AW44" s="568"/>
      <c r="AX44" s="568"/>
      <c r="AY44" s="568"/>
      <c r="AZ44" s="568"/>
      <c r="BA44" s="568"/>
      <c r="BB44" s="568"/>
      <c r="BC44" s="568"/>
      <c r="BD44" s="568"/>
      <c r="BE44" s="568"/>
      <c r="BF44" s="568"/>
      <c r="BG44" s="568"/>
      <c r="BH44" s="568"/>
      <c r="BI44" s="568"/>
      <c r="BJ44" s="568"/>
      <c r="BK44" s="568"/>
      <c r="BL44" s="568"/>
      <c r="BM44" s="568"/>
      <c r="BN44" s="568"/>
      <c r="BO44" s="568"/>
      <c r="BP44" s="568"/>
      <c r="BQ44" s="568"/>
      <c r="BR44" s="568"/>
      <c r="BS44" s="568"/>
      <c r="BT44" s="568"/>
      <c r="BU44" s="568"/>
      <c r="BV44" s="568"/>
      <c r="BW44" s="568"/>
      <c r="BX44" s="568"/>
    </row>
    <row r="45" spans="1:76" ht="15.75" thickBot="1" x14ac:dyDescent="0.3">
      <c r="A45" s="568"/>
      <c r="B45" s="957" t="s">
        <v>71</v>
      </c>
      <c r="C45" s="957"/>
      <c r="D45" s="958"/>
      <c r="E45" s="612">
        <v>2014</v>
      </c>
      <c r="F45" s="613">
        <v>2015</v>
      </c>
      <c r="G45" s="613">
        <v>2016</v>
      </c>
      <c r="H45" s="614">
        <v>2017</v>
      </c>
      <c r="I45" s="615">
        <v>2018</v>
      </c>
      <c r="J45" s="613">
        <v>2019</v>
      </c>
      <c r="K45" s="616">
        <v>2020</v>
      </c>
      <c r="L45" s="610"/>
      <c r="M45" s="610"/>
      <c r="N45" s="568"/>
      <c r="O45" s="568"/>
      <c r="P45" s="568"/>
      <c r="Q45" s="568"/>
      <c r="R45" s="568"/>
      <c r="S45" s="568"/>
      <c r="T45" s="568"/>
      <c r="U45" s="568"/>
      <c r="V45" s="568"/>
      <c r="W45" s="568"/>
      <c r="X45" s="568"/>
      <c r="Y45" s="568"/>
      <c r="Z45" s="568"/>
      <c r="AA45" s="568"/>
      <c r="AB45" s="568"/>
      <c r="AC45" s="568"/>
      <c r="AD45" s="568"/>
      <c r="AE45" s="568"/>
      <c r="AF45" s="568"/>
      <c r="AG45" s="568"/>
      <c r="AH45" s="568"/>
      <c r="AI45" s="568"/>
      <c r="AJ45" s="568"/>
      <c r="AK45" s="568"/>
      <c r="AL45" s="568"/>
      <c r="AM45" s="568"/>
      <c r="AN45" s="568"/>
      <c r="AO45" s="568"/>
      <c r="AP45" s="568"/>
      <c r="AQ45" s="568"/>
      <c r="AR45" s="568"/>
      <c r="AS45" s="568"/>
      <c r="AT45" s="568"/>
      <c r="AU45" s="568"/>
      <c r="AV45" s="568"/>
      <c r="AW45" s="568"/>
      <c r="AX45" s="568"/>
      <c r="AY45" s="568"/>
      <c r="AZ45" s="568"/>
      <c r="BA45" s="568"/>
      <c r="BB45" s="568"/>
      <c r="BC45" s="568"/>
      <c r="BD45" s="568"/>
      <c r="BE45" s="568"/>
      <c r="BF45" s="568"/>
      <c r="BG45" s="568"/>
      <c r="BH45" s="568"/>
      <c r="BI45" s="568"/>
      <c r="BJ45" s="568"/>
      <c r="BK45" s="568"/>
      <c r="BL45" s="568"/>
      <c r="BM45" s="568"/>
      <c r="BN45" s="568"/>
      <c r="BO45" s="568"/>
      <c r="BP45" s="568"/>
      <c r="BQ45" s="568"/>
      <c r="BR45" s="568"/>
      <c r="BS45" s="568"/>
      <c r="BT45" s="568"/>
      <c r="BU45" s="568"/>
      <c r="BV45" s="568"/>
      <c r="BW45" s="568"/>
      <c r="BX45" s="568"/>
    </row>
    <row r="46" spans="1:76" s="101" customFormat="1" x14ac:dyDescent="0.25">
      <c r="A46" s="568"/>
      <c r="B46" s="950" t="s">
        <v>122</v>
      </c>
      <c r="C46" s="951"/>
      <c r="D46" s="952"/>
      <c r="E46" s="617">
        <f>SUM(E86:H87)</f>
        <v>203.45</v>
      </c>
      <c r="F46" s="128">
        <f>SUM(I86:L87)</f>
        <v>19.630000000000003</v>
      </c>
      <c r="G46" s="128">
        <f>SUM(M86:P87)</f>
        <v>717.60000000000014</v>
      </c>
      <c r="H46" s="134">
        <f>SUM(Q86:T87)</f>
        <v>2561.13</v>
      </c>
      <c r="I46" s="312">
        <f>SUM(U86:X87)</f>
        <v>1948.5700000000002</v>
      </c>
      <c r="J46" s="128">
        <f>SUM(Y86:AB87)</f>
        <v>6808.6200000000008</v>
      </c>
      <c r="K46" s="135">
        <f>SUM(Z86:AC87)</f>
        <v>10934.82</v>
      </c>
      <c r="L46" s="610"/>
      <c r="M46" s="610"/>
      <c r="N46" s="568"/>
      <c r="O46" s="568"/>
      <c r="P46" s="568"/>
      <c r="Q46" s="568"/>
      <c r="R46" s="568"/>
      <c r="S46" s="568"/>
      <c r="T46" s="568"/>
      <c r="U46" s="568"/>
      <c r="V46" s="568"/>
      <c r="W46" s="568"/>
      <c r="X46" s="568"/>
      <c r="Y46" s="568"/>
      <c r="Z46" s="568"/>
      <c r="AA46" s="568"/>
      <c r="AB46" s="568"/>
      <c r="AC46" s="568"/>
      <c r="AD46" s="568"/>
      <c r="AE46" s="568"/>
      <c r="AF46" s="568"/>
      <c r="AG46" s="568"/>
      <c r="AH46" s="568"/>
      <c r="AI46" s="568"/>
      <c r="AJ46" s="568"/>
      <c r="AK46" s="568"/>
      <c r="AL46" s="568"/>
      <c r="AM46" s="568"/>
      <c r="AN46" s="568"/>
      <c r="AO46" s="568"/>
      <c r="AP46" s="568"/>
      <c r="AQ46" s="568"/>
      <c r="AR46" s="568"/>
      <c r="AS46" s="568"/>
      <c r="AT46" s="568"/>
      <c r="AU46" s="568"/>
      <c r="AV46" s="568"/>
      <c r="AW46" s="568"/>
      <c r="AX46" s="568"/>
      <c r="AY46" s="568"/>
      <c r="AZ46" s="568"/>
      <c r="BA46" s="568"/>
      <c r="BB46" s="568"/>
      <c r="BC46" s="568"/>
      <c r="BD46" s="568"/>
      <c r="BE46" s="568"/>
      <c r="BF46" s="568"/>
      <c r="BG46" s="568"/>
      <c r="BH46" s="568"/>
      <c r="BI46" s="568"/>
      <c r="BJ46" s="568"/>
      <c r="BK46" s="568"/>
      <c r="BL46" s="568"/>
      <c r="BM46" s="568"/>
      <c r="BN46" s="568"/>
      <c r="BO46" s="568"/>
      <c r="BP46" s="568"/>
      <c r="BQ46" s="568"/>
      <c r="BR46" s="568"/>
      <c r="BS46" s="568"/>
      <c r="BT46" s="568"/>
      <c r="BU46" s="568"/>
      <c r="BV46" s="568"/>
      <c r="BW46" s="568"/>
      <c r="BX46" s="568"/>
    </row>
    <row r="47" spans="1:76" s="101" customFormat="1" x14ac:dyDescent="0.25">
      <c r="A47" s="568"/>
      <c r="B47" s="904" t="s">
        <v>131</v>
      </c>
      <c r="C47" s="905"/>
      <c r="D47" s="906"/>
      <c r="E47" s="618">
        <f>SUM(E90:H91)</f>
        <v>775.84000000000015</v>
      </c>
      <c r="F47" s="194">
        <f>SUM(I90:L91)</f>
        <v>428.47999999999996</v>
      </c>
      <c r="G47" s="194">
        <f>SUM(M90:P91)</f>
        <v>384.41</v>
      </c>
      <c r="H47" s="195">
        <f>SUM(Q90:T91)</f>
        <v>514.67000000000007</v>
      </c>
      <c r="I47" s="313">
        <f>SUM(U90:X91)</f>
        <v>1356.68</v>
      </c>
      <c r="J47" s="194">
        <f>SUM(Y90:AB91)</f>
        <v>2536.4299999999998</v>
      </c>
      <c r="K47" s="196">
        <f>SUM(Z90:AC91)</f>
        <v>2095.08</v>
      </c>
      <c r="L47" s="610"/>
      <c r="M47" s="610"/>
      <c r="N47" s="568"/>
      <c r="O47" s="568"/>
      <c r="P47" s="568"/>
      <c r="Q47" s="568"/>
      <c r="R47" s="568"/>
      <c r="S47" s="568"/>
      <c r="T47" s="568"/>
      <c r="U47" s="568"/>
      <c r="V47" s="568"/>
      <c r="W47" s="568"/>
      <c r="X47" s="568"/>
      <c r="Y47" s="568"/>
      <c r="Z47" s="568"/>
      <c r="AA47" s="568"/>
      <c r="AB47" s="568"/>
      <c r="AC47" s="568"/>
      <c r="AD47" s="568"/>
      <c r="AE47" s="568"/>
      <c r="AF47" s="568"/>
      <c r="AG47" s="568"/>
      <c r="AH47" s="568"/>
      <c r="AI47" s="568"/>
      <c r="AJ47" s="568"/>
      <c r="AK47" s="568"/>
      <c r="AL47" s="568"/>
      <c r="AM47" s="568"/>
      <c r="AN47" s="568"/>
      <c r="AO47" s="568"/>
      <c r="AP47" s="568"/>
      <c r="AQ47" s="568"/>
      <c r="AR47" s="568"/>
      <c r="AS47" s="568"/>
      <c r="AT47" s="568"/>
      <c r="AU47" s="568"/>
      <c r="AV47" s="568"/>
      <c r="AW47" s="568"/>
      <c r="AX47" s="568"/>
      <c r="AY47" s="568"/>
      <c r="AZ47" s="568"/>
      <c r="BA47" s="568"/>
      <c r="BB47" s="568"/>
      <c r="BC47" s="568"/>
      <c r="BD47" s="568"/>
      <c r="BE47" s="568"/>
      <c r="BF47" s="568"/>
      <c r="BG47" s="568"/>
      <c r="BH47" s="568"/>
      <c r="BI47" s="568"/>
      <c r="BJ47" s="568"/>
      <c r="BK47" s="568"/>
      <c r="BL47" s="568"/>
      <c r="BM47" s="568"/>
      <c r="BN47" s="568"/>
      <c r="BO47" s="568"/>
      <c r="BP47" s="568"/>
      <c r="BQ47" s="568"/>
      <c r="BR47" s="568"/>
      <c r="BS47" s="568"/>
      <c r="BT47" s="568"/>
      <c r="BU47" s="568"/>
      <c r="BV47" s="568"/>
      <c r="BW47" s="568"/>
      <c r="BX47" s="568"/>
    </row>
    <row r="48" spans="1:76" s="101" customFormat="1" ht="15.75" thickBot="1" x14ac:dyDescent="0.3">
      <c r="A48" s="568"/>
      <c r="B48" s="954" t="s">
        <v>124</v>
      </c>
      <c r="C48" s="955"/>
      <c r="D48" s="956"/>
      <c r="E48" s="619">
        <f t="shared" ref="E48:J48" si="0">E115+E118</f>
        <v>0</v>
      </c>
      <c r="F48" s="208">
        <f t="shared" si="0"/>
        <v>0</v>
      </c>
      <c r="G48" s="208">
        <f t="shared" si="0"/>
        <v>0</v>
      </c>
      <c r="H48" s="620">
        <f t="shared" si="0"/>
        <v>60</v>
      </c>
      <c r="I48" s="621">
        <f t="shared" si="0"/>
        <v>451</v>
      </c>
      <c r="J48" s="208">
        <f t="shared" si="0"/>
        <v>607</v>
      </c>
      <c r="K48" s="622">
        <f t="shared" ref="K48" si="1">K115+K118</f>
        <v>1121</v>
      </c>
      <c r="L48" s="610"/>
      <c r="M48" s="610"/>
      <c r="N48" s="568"/>
      <c r="O48" s="568"/>
      <c r="P48" s="568"/>
      <c r="Q48" s="568"/>
      <c r="R48" s="568"/>
      <c r="S48" s="568"/>
      <c r="T48" s="568"/>
      <c r="U48" s="568"/>
      <c r="V48" s="568"/>
      <c r="W48" s="568"/>
      <c r="X48" s="568"/>
      <c r="Y48" s="568"/>
      <c r="Z48" s="568"/>
      <c r="AA48" s="568"/>
      <c r="AB48" s="568"/>
      <c r="AC48" s="568"/>
      <c r="AD48" s="568"/>
      <c r="AE48" s="568"/>
      <c r="AF48" s="568"/>
      <c r="AG48" s="568"/>
      <c r="AH48" s="568"/>
      <c r="AI48" s="568"/>
      <c r="AJ48" s="568"/>
      <c r="AK48" s="568"/>
      <c r="AL48" s="568"/>
      <c r="AM48" s="568"/>
      <c r="AN48" s="568"/>
      <c r="AO48" s="568"/>
      <c r="AP48" s="568"/>
      <c r="AQ48" s="568"/>
      <c r="AR48" s="568"/>
      <c r="AS48" s="568"/>
      <c r="AT48" s="568"/>
      <c r="AU48" s="568"/>
      <c r="AV48" s="568"/>
      <c r="AW48" s="568"/>
      <c r="AX48" s="568"/>
      <c r="AY48" s="568"/>
      <c r="AZ48" s="568"/>
      <c r="BA48" s="568"/>
      <c r="BB48" s="568"/>
      <c r="BC48" s="568"/>
      <c r="BD48" s="568"/>
      <c r="BE48" s="568"/>
      <c r="BF48" s="568"/>
      <c r="BG48" s="568"/>
      <c r="BH48" s="568"/>
      <c r="BI48" s="568"/>
      <c r="BJ48" s="568"/>
      <c r="BK48" s="568"/>
      <c r="BL48" s="568"/>
      <c r="BM48" s="568"/>
      <c r="BN48" s="568"/>
      <c r="BO48" s="568"/>
      <c r="BP48" s="568"/>
      <c r="BQ48" s="568"/>
      <c r="BR48" s="568"/>
      <c r="BS48" s="568"/>
      <c r="BT48" s="568"/>
      <c r="BU48" s="568"/>
      <c r="BV48" s="568"/>
      <c r="BW48" s="568"/>
      <c r="BX48" s="568"/>
    </row>
    <row r="49" spans="1:76" s="101" customFormat="1" x14ac:dyDescent="0.25">
      <c r="A49" s="568"/>
      <c r="B49" s="623"/>
      <c r="C49" s="623"/>
      <c r="D49" s="623"/>
      <c r="E49" s="624"/>
      <c r="F49" s="624"/>
      <c r="G49" s="624"/>
      <c r="H49" s="624"/>
      <c r="I49" s="624"/>
      <c r="J49" s="568"/>
      <c r="K49" s="568"/>
      <c r="L49" s="610"/>
      <c r="M49" s="610"/>
      <c r="N49" s="568"/>
      <c r="O49" s="568"/>
      <c r="P49" s="568"/>
      <c r="Q49" s="568"/>
      <c r="R49" s="568"/>
      <c r="S49" s="568"/>
      <c r="T49" s="568"/>
      <c r="U49" s="568"/>
      <c r="V49" s="568"/>
      <c r="W49" s="568"/>
      <c r="X49" s="568"/>
      <c r="Y49" s="568"/>
      <c r="Z49" s="568"/>
      <c r="AA49" s="568"/>
      <c r="AB49" s="568"/>
      <c r="AC49" s="568"/>
      <c r="AD49" s="568"/>
      <c r="AE49" s="402"/>
      <c r="AF49" s="568"/>
      <c r="AG49" s="568"/>
      <c r="AH49" s="568"/>
      <c r="AI49" s="568"/>
      <c r="AJ49" s="568"/>
      <c r="AK49" s="568"/>
      <c r="AL49" s="568"/>
      <c r="AM49" s="568"/>
      <c r="AN49" s="568"/>
      <c r="AO49" s="568"/>
      <c r="AP49" s="568"/>
      <c r="AQ49" s="568"/>
      <c r="AR49" s="568"/>
      <c r="AS49" s="568"/>
      <c r="AT49" s="568"/>
      <c r="AU49" s="568"/>
      <c r="AV49" s="568"/>
      <c r="AW49" s="568"/>
      <c r="AX49" s="568"/>
      <c r="AY49" s="568"/>
      <c r="AZ49" s="568"/>
      <c r="BA49" s="568"/>
      <c r="BB49" s="568"/>
      <c r="BC49" s="568"/>
      <c r="BD49" s="568"/>
      <c r="BE49" s="568"/>
      <c r="BF49" s="568"/>
      <c r="BG49" s="568"/>
      <c r="BH49" s="568"/>
      <c r="BI49" s="568"/>
      <c r="BJ49" s="568"/>
      <c r="BK49" s="568"/>
      <c r="BL49" s="568"/>
      <c r="BM49" s="568"/>
      <c r="BN49" s="568"/>
      <c r="BO49" s="568"/>
      <c r="BP49" s="568"/>
      <c r="BQ49" s="568"/>
      <c r="BR49" s="568"/>
      <c r="BS49" s="568"/>
      <c r="BT49" s="568"/>
      <c r="BU49" s="568"/>
      <c r="BV49" s="568"/>
      <c r="BW49" s="568"/>
      <c r="BX49" s="568"/>
    </row>
    <row r="50" spans="1:76" s="101" customFormat="1" x14ac:dyDescent="0.25">
      <c r="A50" s="568"/>
      <c r="B50" s="582" t="s">
        <v>180</v>
      </c>
      <c r="C50" s="623"/>
      <c r="D50" s="623"/>
      <c r="E50" s="624"/>
      <c r="F50" s="624"/>
      <c r="G50" s="624"/>
      <c r="H50" s="624"/>
      <c r="I50" s="624"/>
      <c r="J50" s="568"/>
      <c r="K50" s="568"/>
      <c r="L50" s="610"/>
      <c r="M50" s="610"/>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N50" s="568"/>
      <c r="AO50" s="568"/>
      <c r="AP50" s="568"/>
      <c r="AQ50" s="568"/>
      <c r="AR50" s="568"/>
      <c r="AS50" s="568"/>
      <c r="AT50" s="568"/>
      <c r="AU50" s="568"/>
      <c r="AV50" s="568"/>
      <c r="AW50" s="568"/>
      <c r="AX50" s="568"/>
      <c r="AY50" s="568"/>
      <c r="AZ50" s="568"/>
      <c r="BA50" s="568"/>
      <c r="BB50" s="568"/>
      <c r="BC50" s="568"/>
      <c r="BD50" s="568"/>
      <c r="BE50" s="568"/>
      <c r="BF50" s="568"/>
      <c r="BG50" s="568"/>
      <c r="BH50" s="568"/>
      <c r="BI50" s="568"/>
      <c r="BJ50" s="568"/>
      <c r="BK50" s="568"/>
      <c r="BL50" s="568"/>
      <c r="BM50" s="568"/>
      <c r="BN50" s="568"/>
      <c r="BO50" s="568"/>
      <c r="BP50" s="568"/>
      <c r="BQ50" s="568"/>
      <c r="BR50" s="568"/>
      <c r="BS50" s="568"/>
      <c r="BT50" s="568"/>
      <c r="BU50" s="568"/>
      <c r="BV50" s="568"/>
      <c r="BW50" s="568"/>
      <c r="BX50" s="568"/>
    </row>
    <row r="51" spans="1:76" s="101" customFormat="1" ht="15.75" thickBot="1" x14ac:dyDescent="0.3">
      <c r="A51" s="568"/>
      <c r="B51" s="568"/>
      <c r="C51" s="568"/>
      <c r="D51" s="568"/>
      <c r="E51" s="625">
        <v>2014</v>
      </c>
      <c r="F51" s="625">
        <f>E51+0.25</f>
        <v>2014.25</v>
      </c>
      <c r="G51" s="625">
        <f t="shared" ref="G51:AF51" si="2">F51+0.25</f>
        <v>2014.5</v>
      </c>
      <c r="H51" s="625">
        <f t="shared" si="2"/>
        <v>2014.75</v>
      </c>
      <c r="I51" s="625">
        <f t="shared" si="2"/>
        <v>2015</v>
      </c>
      <c r="J51" s="625">
        <f t="shared" si="2"/>
        <v>2015.25</v>
      </c>
      <c r="K51" s="625">
        <f t="shared" si="2"/>
        <v>2015.5</v>
      </c>
      <c r="L51" s="625">
        <f t="shared" si="2"/>
        <v>2015.75</v>
      </c>
      <c r="M51" s="625">
        <f t="shared" si="2"/>
        <v>2016</v>
      </c>
      <c r="N51" s="625">
        <f t="shared" si="2"/>
        <v>2016.25</v>
      </c>
      <c r="O51" s="625">
        <f t="shared" si="2"/>
        <v>2016.5</v>
      </c>
      <c r="P51" s="625">
        <f t="shared" si="2"/>
        <v>2016.75</v>
      </c>
      <c r="Q51" s="625">
        <f t="shared" si="2"/>
        <v>2017</v>
      </c>
      <c r="R51" s="625">
        <f t="shared" si="2"/>
        <v>2017.25</v>
      </c>
      <c r="S51" s="625">
        <f t="shared" si="2"/>
        <v>2017.5</v>
      </c>
      <c r="T51" s="625">
        <f t="shared" si="2"/>
        <v>2017.75</v>
      </c>
      <c r="U51" s="625">
        <f t="shared" si="2"/>
        <v>2018</v>
      </c>
      <c r="V51" s="625">
        <f t="shared" si="2"/>
        <v>2018.25</v>
      </c>
      <c r="W51" s="625">
        <f t="shared" si="2"/>
        <v>2018.5</v>
      </c>
      <c r="X51" s="625">
        <f t="shared" si="2"/>
        <v>2018.75</v>
      </c>
      <c r="Y51" s="625">
        <f t="shared" si="2"/>
        <v>2019</v>
      </c>
      <c r="Z51" s="625">
        <f t="shared" si="2"/>
        <v>2019.25</v>
      </c>
      <c r="AA51" s="625">
        <f t="shared" si="2"/>
        <v>2019.5</v>
      </c>
      <c r="AB51" s="625">
        <f t="shared" si="2"/>
        <v>2019.75</v>
      </c>
      <c r="AC51" s="625">
        <f t="shared" si="2"/>
        <v>2020</v>
      </c>
      <c r="AD51" s="625">
        <f t="shared" si="2"/>
        <v>2020.25</v>
      </c>
      <c r="AE51" s="625">
        <f t="shared" si="2"/>
        <v>2020.5</v>
      </c>
      <c r="AF51" s="625">
        <f t="shared" si="2"/>
        <v>2020.75</v>
      </c>
      <c r="AG51" s="568"/>
      <c r="AH51" s="568"/>
      <c r="AI51" s="568"/>
      <c r="AJ51" s="568"/>
      <c r="AK51" s="568"/>
      <c r="AL51" s="568"/>
      <c r="AM51" s="568"/>
      <c r="AN51" s="568"/>
      <c r="AO51" s="568"/>
      <c r="AP51" s="568"/>
      <c r="AQ51" s="568"/>
      <c r="AR51" s="568"/>
      <c r="AS51" s="568"/>
      <c r="AT51" s="568"/>
      <c r="AU51" s="568"/>
      <c r="AV51" s="568"/>
      <c r="AW51" s="568"/>
      <c r="AX51" s="568"/>
      <c r="AY51" s="568"/>
      <c r="AZ51" s="568"/>
      <c r="BA51" s="568"/>
      <c r="BB51" s="568"/>
      <c r="BC51" s="568"/>
      <c r="BD51" s="568"/>
      <c r="BE51" s="568"/>
      <c r="BF51" s="568"/>
      <c r="BG51" s="568"/>
      <c r="BH51" s="568"/>
      <c r="BI51" s="568"/>
      <c r="BJ51" s="568"/>
      <c r="BK51" s="568"/>
      <c r="BL51" s="568"/>
      <c r="BM51" s="568"/>
      <c r="BN51" s="568"/>
      <c r="BO51" s="568"/>
      <c r="BP51" s="568"/>
      <c r="BQ51" s="568"/>
      <c r="BR51" s="568"/>
      <c r="BS51" s="568"/>
      <c r="BT51" s="568"/>
      <c r="BU51" s="568"/>
      <c r="BV51" s="568"/>
      <c r="BW51" s="568"/>
      <c r="BX51" s="568"/>
    </row>
    <row r="52" spans="1:76" s="101" customFormat="1" ht="15.75" thickBot="1" x14ac:dyDescent="0.3">
      <c r="A52" s="568"/>
      <c r="B52" s="948" t="s">
        <v>71</v>
      </c>
      <c r="C52" s="948"/>
      <c r="D52" s="949"/>
      <c r="E52" s="497" t="s">
        <v>100</v>
      </c>
      <c r="F52" s="494" t="s">
        <v>101</v>
      </c>
      <c r="G52" s="494" t="s">
        <v>104</v>
      </c>
      <c r="H52" s="498" t="s">
        <v>105</v>
      </c>
      <c r="I52" s="497" t="s">
        <v>102</v>
      </c>
      <c r="J52" s="494" t="s">
        <v>103</v>
      </c>
      <c r="K52" s="494" t="s">
        <v>106</v>
      </c>
      <c r="L52" s="498" t="s">
        <v>107</v>
      </c>
      <c r="M52" s="497" t="s">
        <v>108</v>
      </c>
      <c r="N52" s="494" t="s">
        <v>109</v>
      </c>
      <c r="O52" s="494" t="s">
        <v>110</v>
      </c>
      <c r="P52" s="498" t="s">
        <v>111</v>
      </c>
      <c r="Q52" s="497" t="s">
        <v>112</v>
      </c>
      <c r="R52" s="494" t="s">
        <v>113</v>
      </c>
      <c r="S52" s="495" t="s">
        <v>114</v>
      </c>
      <c r="T52" s="496" t="s">
        <v>115</v>
      </c>
      <c r="U52" s="497" t="str">
        <f t="shared" ref="U52:AB52" si="3">U60</f>
        <v>2018 - T1</v>
      </c>
      <c r="V52" s="494" t="str">
        <f t="shared" si="3"/>
        <v>2018 - T2</v>
      </c>
      <c r="W52" s="494" t="str">
        <f t="shared" si="3"/>
        <v>2018 - T3</v>
      </c>
      <c r="X52" s="498" t="str">
        <f t="shared" si="3"/>
        <v>2018 - T4</v>
      </c>
      <c r="Y52" s="497" t="str">
        <f t="shared" si="3"/>
        <v>2019 - T1</v>
      </c>
      <c r="Z52" s="494" t="str">
        <f t="shared" si="3"/>
        <v>2019 - T2</v>
      </c>
      <c r="AA52" s="494" t="str">
        <f t="shared" si="3"/>
        <v>2019 - T3</v>
      </c>
      <c r="AB52" s="498" t="str">
        <f t="shared" si="3"/>
        <v>2019 - T4</v>
      </c>
      <c r="AC52" s="626" t="s">
        <v>359</v>
      </c>
      <c r="AD52" s="626" t="s">
        <v>360</v>
      </c>
      <c r="AE52" s="626" t="s">
        <v>361</v>
      </c>
      <c r="AF52" s="498" t="s">
        <v>362</v>
      </c>
      <c r="AG52" s="568"/>
      <c r="AH52" s="568"/>
      <c r="AI52" s="568"/>
      <c r="AJ52" s="568"/>
      <c r="AK52" s="568"/>
      <c r="AL52" s="568"/>
      <c r="AM52" s="568"/>
      <c r="AN52" s="568"/>
      <c r="AO52" s="568"/>
      <c r="AP52" s="568"/>
      <c r="AQ52" s="568"/>
      <c r="AR52" s="568"/>
      <c r="AS52" s="568"/>
      <c r="AT52" s="568"/>
      <c r="AU52" s="568"/>
      <c r="AV52" s="568"/>
      <c r="AW52" s="568"/>
      <c r="AX52" s="568"/>
      <c r="AY52" s="568"/>
      <c r="AZ52" s="568"/>
      <c r="BA52" s="568"/>
      <c r="BB52" s="568"/>
      <c r="BC52" s="568"/>
      <c r="BD52" s="568"/>
      <c r="BE52" s="568"/>
      <c r="BF52" s="568"/>
      <c r="BG52" s="568"/>
      <c r="BH52" s="568"/>
      <c r="BI52" s="568"/>
      <c r="BJ52" s="568"/>
      <c r="BK52" s="568"/>
      <c r="BL52" s="568"/>
      <c r="BM52" s="568"/>
      <c r="BN52" s="568"/>
      <c r="BO52" s="568"/>
      <c r="BP52" s="568"/>
      <c r="BQ52" s="568"/>
      <c r="BR52" s="568"/>
      <c r="BS52" s="568"/>
      <c r="BT52" s="568"/>
      <c r="BU52" s="568"/>
      <c r="BV52" s="568"/>
      <c r="BW52" s="568"/>
      <c r="BX52" s="568"/>
    </row>
    <row r="53" spans="1:76" s="101" customFormat="1" x14ac:dyDescent="0.25">
      <c r="A53" s="568"/>
      <c r="B53" s="950" t="s">
        <v>171</v>
      </c>
      <c r="C53" s="951"/>
      <c r="D53" s="952"/>
      <c r="E53" s="127">
        <f>E86+E87</f>
        <v>0</v>
      </c>
      <c r="F53" s="128">
        <f t="shared" ref="F53:J53" si="4">F86+F87</f>
        <v>0</v>
      </c>
      <c r="G53" s="128">
        <f t="shared" si="4"/>
        <v>37.699999999999996</v>
      </c>
      <c r="H53" s="129">
        <f t="shared" si="4"/>
        <v>165.75</v>
      </c>
      <c r="I53" s="127">
        <f t="shared" si="4"/>
        <v>4.42</v>
      </c>
      <c r="J53" s="128">
        <f t="shared" si="4"/>
        <v>11.700000000000001</v>
      </c>
      <c r="K53" s="128">
        <f t="shared" ref="K53:AF53" si="5">K86+K87</f>
        <v>2.73</v>
      </c>
      <c r="L53" s="129">
        <f t="shared" si="5"/>
        <v>0.78</v>
      </c>
      <c r="M53" s="127">
        <f t="shared" si="5"/>
        <v>68.77</v>
      </c>
      <c r="N53" s="128">
        <f t="shared" si="5"/>
        <v>117.78</v>
      </c>
      <c r="O53" s="128">
        <f t="shared" si="5"/>
        <v>201.89000000000001</v>
      </c>
      <c r="P53" s="129">
        <f t="shared" si="5"/>
        <v>329.16</v>
      </c>
      <c r="Q53" s="127">
        <f t="shared" si="5"/>
        <v>418.34000000000003</v>
      </c>
      <c r="R53" s="128">
        <f t="shared" si="5"/>
        <v>560.56000000000006</v>
      </c>
      <c r="S53" s="134">
        <f t="shared" si="5"/>
        <v>873.73</v>
      </c>
      <c r="T53" s="135">
        <f t="shared" si="5"/>
        <v>708.5</v>
      </c>
      <c r="U53" s="127">
        <f t="shared" si="5"/>
        <v>381.94000000000005</v>
      </c>
      <c r="V53" s="128">
        <f t="shared" si="5"/>
        <v>423.28000000000003</v>
      </c>
      <c r="W53" s="128">
        <f t="shared" si="5"/>
        <v>549.12</v>
      </c>
      <c r="X53" s="129">
        <f t="shared" si="5"/>
        <v>594.23</v>
      </c>
      <c r="Y53" s="127">
        <f t="shared" si="5"/>
        <v>571.09</v>
      </c>
      <c r="Z53" s="128">
        <f t="shared" si="5"/>
        <v>1165.3200000000002</v>
      </c>
      <c r="AA53" s="128">
        <f t="shared" si="5"/>
        <v>1335.1000000000001</v>
      </c>
      <c r="AB53" s="129">
        <f t="shared" si="5"/>
        <v>3737.1100000000006</v>
      </c>
      <c r="AC53" s="128">
        <f t="shared" si="5"/>
        <v>4697.29</v>
      </c>
      <c r="AD53" s="128">
        <f t="shared" si="5"/>
        <v>5380.7000000000007</v>
      </c>
      <c r="AE53" s="128">
        <f t="shared" si="5"/>
        <v>6341.79</v>
      </c>
      <c r="AF53" s="128">
        <f t="shared" si="5"/>
        <v>4557.0200000000004</v>
      </c>
      <c r="AG53" s="568"/>
      <c r="AH53" s="568"/>
      <c r="AI53" s="568"/>
      <c r="AJ53" s="568"/>
      <c r="AK53" s="568"/>
      <c r="AL53" s="568"/>
      <c r="AM53" s="568"/>
      <c r="AN53" s="568"/>
      <c r="AO53" s="568"/>
      <c r="AP53" s="568"/>
      <c r="AQ53" s="568"/>
      <c r="AR53" s="568"/>
      <c r="AS53" s="568"/>
      <c r="AT53" s="568"/>
      <c r="AU53" s="568"/>
      <c r="AV53" s="568"/>
      <c r="AW53" s="568"/>
      <c r="AX53" s="568"/>
      <c r="AY53" s="568"/>
      <c r="AZ53" s="568"/>
      <c r="BA53" s="568"/>
      <c r="BB53" s="568"/>
      <c r="BC53" s="568"/>
      <c r="BD53" s="568"/>
      <c r="BE53" s="568"/>
      <c r="BF53" s="568"/>
      <c r="BG53" s="568"/>
      <c r="BH53" s="568"/>
      <c r="BI53" s="568"/>
      <c r="BJ53" s="568"/>
      <c r="BK53" s="568"/>
      <c r="BL53" s="568"/>
      <c r="BM53" s="568"/>
      <c r="BN53" s="568"/>
      <c r="BO53" s="568"/>
      <c r="BP53" s="568"/>
      <c r="BQ53" s="568"/>
      <c r="BR53" s="568"/>
      <c r="BS53" s="568"/>
      <c r="BT53" s="568"/>
      <c r="BU53" s="568"/>
      <c r="BV53" s="568"/>
      <c r="BW53" s="568"/>
      <c r="BX53" s="568"/>
    </row>
    <row r="54" spans="1:76" s="101" customFormat="1" x14ac:dyDescent="0.25">
      <c r="A54" s="568"/>
      <c r="B54" s="904" t="s">
        <v>172</v>
      </c>
      <c r="C54" s="905"/>
      <c r="D54" s="906"/>
      <c r="E54" s="124">
        <f>E90+E91</f>
        <v>226.07</v>
      </c>
      <c r="F54" s="125">
        <f t="shared" ref="F54:J54" si="6">F90+F91</f>
        <v>201.37</v>
      </c>
      <c r="G54" s="125">
        <f t="shared" si="6"/>
        <v>221.39000000000001</v>
      </c>
      <c r="H54" s="126">
        <f t="shared" si="6"/>
        <v>127.00999999999999</v>
      </c>
      <c r="I54" s="124">
        <f t="shared" si="6"/>
        <v>121.55000000000001</v>
      </c>
      <c r="J54" s="125">
        <f t="shared" si="6"/>
        <v>138.84</v>
      </c>
      <c r="K54" s="125">
        <f t="shared" ref="K54:AF54" si="7">K90+K91</f>
        <v>71.37</v>
      </c>
      <c r="L54" s="126">
        <f t="shared" si="7"/>
        <v>96.72</v>
      </c>
      <c r="M54" s="124">
        <f t="shared" si="7"/>
        <v>91.78</v>
      </c>
      <c r="N54" s="125">
        <f t="shared" si="7"/>
        <v>61.49</v>
      </c>
      <c r="O54" s="125">
        <f t="shared" si="7"/>
        <v>115.44</v>
      </c>
      <c r="P54" s="126">
        <f t="shared" si="7"/>
        <v>115.69999999999999</v>
      </c>
      <c r="Q54" s="124">
        <f t="shared" si="7"/>
        <v>107.51</v>
      </c>
      <c r="R54" s="125">
        <f t="shared" si="7"/>
        <v>138.19</v>
      </c>
      <c r="S54" s="138">
        <f t="shared" si="7"/>
        <v>126.10000000000001</v>
      </c>
      <c r="T54" s="139">
        <f t="shared" si="7"/>
        <v>142.87</v>
      </c>
      <c r="U54" s="124">
        <f t="shared" si="7"/>
        <v>209.95</v>
      </c>
      <c r="V54" s="125">
        <f t="shared" si="7"/>
        <v>304.07</v>
      </c>
      <c r="W54" s="125">
        <f t="shared" si="7"/>
        <v>119.34000000000002</v>
      </c>
      <c r="X54" s="126">
        <f t="shared" si="7"/>
        <v>723.32</v>
      </c>
      <c r="Y54" s="124">
        <f t="shared" si="7"/>
        <v>624.52</v>
      </c>
      <c r="Z54" s="125">
        <f t="shared" si="7"/>
        <v>533.13</v>
      </c>
      <c r="AA54" s="125">
        <f t="shared" si="7"/>
        <v>516.75</v>
      </c>
      <c r="AB54" s="126">
        <f t="shared" si="7"/>
        <v>862.03</v>
      </c>
      <c r="AC54" s="125">
        <f t="shared" si="7"/>
        <v>183.17000000000002</v>
      </c>
      <c r="AD54" s="125">
        <f t="shared" si="7"/>
        <v>198.9</v>
      </c>
      <c r="AE54" s="125">
        <f t="shared" si="7"/>
        <v>371.67</v>
      </c>
      <c r="AF54" s="126">
        <f t="shared" si="7"/>
        <v>823.29</v>
      </c>
      <c r="AG54" s="568"/>
      <c r="AH54" s="568"/>
      <c r="AI54" s="568"/>
      <c r="AJ54" s="568"/>
      <c r="AK54" s="568"/>
      <c r="AL54" s="568"/>
      <c r="AM54" s="568"/>
      <c r="AN54" s="568"/>
      <c r="AO54" s="568"/>
      <c r="AP54" s="568"/>
      <c r="AQ54" s="568"/>
      <c r="AR54" s="568"/>
      <c r="AS54" s="568"/>
      <c r="AT54" s="568"/>
      <c r="AU54" s="568"/>
      <c r="AV54" s="568"/>
      <c r="AW54" s="568"/>
      <c r="AX54" s="568"/>
      <c r="AY54" s="568"/>
      <c r="AZ54" s="568"/>
      <c r="BA54" s="568"/>
      <c r="BB54" s="568"/>
      <c r="BC54" s="568"/>
      <c r="BD54" s="568"/>
      <c r="BE54" s="568"/>
      <c r="BF54" s="568"/>
      <c r="BG54" s="568"/>
      <c r="BH54" s="568"/>
      <c r="BI54" s="568"/>
      <c r="BJ54" s="568"/>
      <c r="BK54" s="568"/>
      <c r="BL54" s="568"/>
      <c r="BM54" s="568"/>
      <c r="BN54" s="568"/>
      <c r="BO54" s="568"/>
      <c r="BP54" s="568"/>
      <c r="BQ54" s="568"/>
      <c r="BR54" s="568"/>
      <c r="BS54" s="568"/>
      <c r="BT54" s="568"/>
      <c r="BU54" s="568"/>
      <c r="BV54" s="568"/>
      <c r="BW54" s="568"/>
      <c r="BX54" s="568"/>
    </row>
    <row r="55" spans="1:76" s="101" customFormat="1" x14ac:dyDescent="0.25">
      <c r="A55" s="568"/>
      <c r="B55" s="904" t="s">
        <v>173</v>
      </c>
      <c r="C55" s="905"/>
      <c r="D55" s="906"/>
      <c r="E55" s="124">
        <f>E48</f>
        <v>0</v>
      </c>
      <c r="F55" s="125"/>
      <c r="G55" s="125"/>
      <c r="H55" s="126"/>
      <c r="I55" s="124">
        <f>F48</f>
        <v>0</v>
      </c>
      <c r="J55" s="125"/>
      <c r="K55" s="125"/>
      <c r="L55" s="126"/>
      <c r="M55" s="124">
        <f>G48</f>
        <v>0</v>
      </c>
      <c r="N55" s="125"/>
      <c r="O55" s="125"/>
      <c r="P55" s="126"/>
      <c r="Q55" s="124">
        <f>H48</f>
        <v>60</v>
      </c>
      <c r="R55" s="125"/>
      <c r="S55" s="138"/>
      <c r="T55" s="139"/>
      <c r="U55" s="124">
        <f>I48</f>
        <v>451</v>
      </c>
      <c r="V55" s="125"/>
      <c r="W55" s="125"/>
      <c r="X55" s="126"/>
      <c r="Y55" s="124">
        <f>J48</f>
        <v>607</v>
      </c>
      <c r="Z55" s="125"/>
      <c r="AA55" s="125"/>
      <c r="AB55" s="126"/>
      <c r="AC55" s="125">
        <f>K48</f>
        <v>1121</v>
      </c>
      <c r="AD55" s="125"/>
      <c r="AE55" s="125"/>
      <c r="AF55" s="126"/>
      <c r="AG55" s="568"/>
      <c r="AH55" s="568"/>
      <c r="AI55" s="568"/>
      <c r="AJ55" s="568"/>
      <c r="AK55" s="568"/>
      <c r="AL55" s="568"/>
      <c r="AM55" s="568"/>
      <c r="AN55" s="568"/>
      <c r="AO55" s="568"/>
      <c r="AP55" s="568"/>
      <c r="AQ55" s="568"/>
      <c r="AR55" s="568"/>
      <c r="AS55" s="568"/>
      <c r="AT55" s="568"/>
      <c r="AU55" s="568"/>
      <c r="AV55" s="568"/>
      <c r="AW55" s="568"/>
      <c r="AX55" s="568"/>
      <c r="AY55" s="568"/>
      <c r="AZ55" s="568"/>
      <c r="BA55" s="568"/>
      <c r="BB55" s="568"/>
      <c r="BC55" s="568"/>
      <c r="BD55" s="568"/>
      <c r="BE55" s="568"/>
      <c r="BF55" s="568"/>
      <c r="BG55" s="568"/>
      <c r="BH55" s="568"/>
      <c r="BI55" s="568"/>
      <c r="BJ55" s="568"/>
      <c r="BK55" s="568"/>
      <c r="BL55" s="568"/>
      <c r="BM55" s="568"/>
      <c r="BN55" s="568"/>
      <c r="BO55" s="568"/>
      <c r="BP55" s="568"/>
      <c r="BQ55" s="568"/>
      <c r="BR55" s="568"/>
      <c r="BS55" s="568"/>
      <c r="BT55" s="568"/>
      <c r="BU55" s="568"/>
      <c r="BV55" s="568"/>
      <c r="BW55" s="568"/>
      <c r="BX55" s="568"/>
    </row>
    <row r="56" spans="1:76" s="107" customFormat="1" ht="15.75" thickBot="1" x14ac:dyDescent="0.3">
      <c r="A56" s="627"/>
      <c r="B56" s="960" t="s">
        <v>176</v>
      </c>
      <c r="C56" s="961"/>
      <c r="D56" s="962"/>
      <c r="E56" s="628">
        <f>0.1%*E29*1000/4</f>
        <v>1732.0749186200003</v>
      </c>
      <c r="F56" s="629">
        <f>E56</f>
        <v>1732.0749186200003</v>
      </c>
      <c r="G56" s="629">
        <f t="shared" ref="G56:Z56" si="8">F56</f>
        <v>1732.0749186200003</v>
      </c>
      <c r="H56" s="630">
        <f t="shared" si="8"/>
        <v>1732.0749186200003</v>
      </c>
      <c r="I56" s="628">
        <f>0.1%*F29*1000/4</f>
        <v>1789.0366777299998</v>
      </c>
      <c r="J56" s="629">
        <f>I56</f>
        <v>1789.0366777299998</v>
      </c>
      <c r="K56" s="629">
        <f>J56</f>
        <v>1789.0366777299998</v>
      </c>
      <c r="L56" s="630">
        <f t="shared" si="8"/>
        <v>1789.0366777299998</v>
      </c>
      <c r="M56" s="628">
        <f>0.1%*G29*1000/4</f>
        <v>1819.4267480919259</v>
      </c>
      <c r="N56" s="629">
        <f t="shared" si="8"/>
        <v>1819.4267480919259</v>
      </c>
      <c r="O56" s="629">
        <f t="shared" si="8"/>
        <v>1819.4267480919259</v>
      </c>
      <c r="P56" s="630">
        <f t="shared" si="8"/>
        <v>1819.4267480919259</v>
      </c>
      <c r="Q56" s="628">
        <f>0.1%*H29*1000/4</f>
        <v>1765.2888472642192</v>
      </c>
      <c r="R56" s="629">
        <f t="shared" si="8"/>
        <v>1765.2888472642192</v>
      </c>
      <c r="S56" s="631">
        <f t="shared" si="8"/>
        <v>1765.2888472642192</v>
      </c>
      <c r="T56" s="632">
        <f t="shared" si="8"/>
        <v>1765.2888472642192</v>
      </c>
      <c r="U56" s="628">
        <f>0.1%*I29*1000/4</f>
        <v>1866.1861640660534</v>
      </c>
      <c r="V56" s="629">
        <f t="shared" si="8"/>
        <v>1866.1861640660534</v>
      </c>
      <c r="W56" s="629">
        <f t="shared" si="8"/>
        <v>1866.1861640660534</v>
      </c>
      <c r="X56" s="630">
        <f t="shared" si="8"/>
        <v>1866.1861640660534</v>
      </c>
      <c r="Y56" s="628">
        <f>0.1%*J29*1000/4</f>
        <v>1841.0745331833068</v>
      </c>
      <c r="Z56" s="629">
        <f t="shared" si="8"/>
        <v>1841.0745331833068</v>
      </c>
      <c r="AA56" s="629">
        <f t="shared" ref="AA56" si="9">Z56</f>
        <v>1841.0745331833068</v>
      </c>
      <c r="AB56" s="630">
        <f>AA56</f>
        <v>1841.0745331833068</v>
      </c>
      <c r="AC56" s="629">
        <f>0.1%*K29*1000/4</f>
        <v>1781.50718588217</v>
      </c>
      <c r="AD56" s="629">
        <f t="shared" ref="AD56:AF56" si="10">AC56</f>
        <v>1781.50718588217</v>
      </c>
      <c r="AE56" s="629">
        <f t="shared" si="10"/>
        <v>1781.50718588217</v>
      </c>
      <c r="AF56" s="630">
        <f t="shared" si="10"/>
        <v>1781.50718588217</v>
      </c>
      <c r="AG56" s="627"/>
      <c r="AH56" s="633"/>
      <c r="AI56" s="633"/>
      <c r="AJ56" s="633"/>
      <c r="AK56" s="633"/>
      <c r="AL56" s="627"/>
      <c r="AM56" s="627"/>
      <c r="AN56" s="627"/>
      <c r="AO56" s="627"/>
      <c r="AP56" s="627"/>
      <c r="AQ56" s="627"/>
      <c r="AR56" s="627"/>
      <c r="AS56" s="627"/>
      <c r="AT56" s="627"/>
      <c r="AU56" s="627"/>
      <c r="AV56" s="627"/>
      <c r="AW56" s="627"/>
      <c r="AX56" s="627"/>
      <c r="AY56" s="627"/>
      <c r="AZ56" s="627"/>
      <c r="BA56" s="627"/>
      <c r="BB56" s="627"/>
      <c r="BC56" s="627"/>
      <c r="BD56" s="627"/>
      <c r="BE56" s="627"/>
      <c r="BF56" s="627"/>
      <c r="BG56" s="627"/>
      <c r="BH56" s="627"/>
      <c r="BI56" s="627"/>
      <c r="BJ56" s="627"/>
      <c r="BK56" s="627"/>
      <c r="BL56" s="627"/>
      <c r="BM56" s="627"/>
      <c r="BN56" s="627"/>
      <c r="BO56" s="627"/>
      <c r="BP56" s="627"/>
      <c r="BQ56" s="627"/>
      <c r="BR56" s="627"/>
      <c r="BS56" s="627"/>
      <c r="BT56" s="627"/>
      <c r="BU56" s="627"/>
      <c r="BV56" s="627"/>
      <c r="BW56" s="627"/>
      <c r="BX56" s="627"/>
    </row>
    <row r="57" spans="1:76" x14ac:dyDescent="0.25">
      <c r="A57" s="568"/>
      <c r="B57" s="568"/>
      <c r="C57" s="568"/>
      <c r="D57" s="568"/>
      <c r="E57" s="568"/>
      <c r="F57" s="568"/>
      <c r="G57" s="568"/>
      <c r="H57" s="568"/>
      <c r="I57" s="568"/>
      <c r="J57" s="568"/>
      <c r="K57" s="568"/>
      <c r="L57" s="610"/>
      <c r="M57" s="610"/>
      <c r="N57" s="568"/>
      <c r="O57" s="568"/>
      <c r="P57" s="568"/>
      <c r="Q57" s="568"/>
      <c r="R57" s="568"/>
      <c r="S57" s="568"/>
      <c r="T57" s="568"/>
      <c r="U57" s="568"/>
      <c r="V57" s="568"/>
      <c r="W57" s="568"/>
      <c r="X57" s="568"/>
      <c r="Y57" s="568"/>
      <c r="Z57" s="568"/>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568"/>
      <c r="BA57" s="568"/>
      <c r="BB57" s="568"/>
      <c r="BC57" s="568"/>
      <c r="BD57" s="568"/>
      <c r="BE57" s="568"/>
      <c r="BF57" s="568"/>
      <c r="BG57" s="568"/>
      <c r="BH57" s="568"/>
      <c r="BI57" s="568"/>
      <c r="BJ57" s="568"/>
      <c r="BK57" s="568"/>
      <c r="BL57" s="568"/>
      <c r="BM57" s="568"/>
      <c r="BN57" s="568"/>
      <c r="BO57" s="568"/>
      <c r="BP57" s="568"/>
      <c r="BQ57" s="568"/>
      <c r="BR57" s="568"/>
      <c r="BS57" s="568"/>
      <c r="BT57" s="568"/>
      <c r="BU57" s="568"/>
      <c r="BV57" s="568"/>
      <c r="BW57" s="568"/>
      <c r="BX57" s="568"/>
    </row>
    <row r="58" spans="1:76" x14ac:dyDescent="0.25">
      <c r="A58" s="568"/>
      <c r="B58" s="567" t="s">
        <v>170</v>
      </c>
      <c r="C58" s="568"/>
      <c r="D58" s="568"/>
      <c r="E58" s="634"/>
      <c r="F58" s="634"/>
      <c r="G58" s="634"/>
      <c r="H58" s="634"/>
      <c r="I58" s="634"/>
      <c r="J58" s="634"/>
      <c r="K58" s="634"/>
      <c r="L58" s="634"/>
      <c r="M58" s="634"/>
      <c r="N58" s="634"/>
      <c r="O58" s="634"/>
      <c r="P58" s="634"/>
      <c r="Q58" s="634"/>
      <c r="R58" s="634"/>
      <c r="S58" s="634"/>
      <c r="T58" s="634"/>
      <c r="U58" s="634"/>
      <c r="V58" s="634"/>
      <c r="W58" s="634"/>
      <c r="X58" s="634"/>
      <c r="Y58" s="634"/>
      <c r="Z58" s="634"/>
      <c r="AA58" s="634"/>
      <c r="AB58" s="634"/>
      <c r="AC58" s="634"/>
      <c r="AD58" s="634"/>
      <c r="AE58" s="634"/>
      <c r="AF58" s="634"/>
      <c r="AG58" s="634"/>
      <c r="AH58" s="568"/>
      <c r="AI58" s="568"/>
      <c r="AJ58" s="568"/>
      <c r="AK58" s="568"/>
      <c r="AL58" s="568"/>
      <c r="AM58" s="568"/>
      <c r="AN58" s="568"/>
      <c r="AO58" s="568"/>
      <c r="AP58" s="568"/>
      <c r="AQ58" s="568"/>
      <c r="AR58" s="568"/>
      <c r="AS58" s="568"/>
      <c r="AT58" s="568"/>
      <c r="AU58" s="568"/>
      <c r="AV58" s="568"/>
      <c r="AW58" s="568"/>
      <c r="AX58" s="568"/>
      <c r="AY58" s="568"/>
      <c r="AZ58" s="568"/>
      <c r="BA58" s="568"/>
      <c r="BB58" s="568"/>
      <c r="BC58" s="568"/>
      <c r="BD58" s="568"/>
      <c r="BE58" s="568"/>
      <c r="BF58" s="568"/>
      <c r="BG58" s="568"/>
      <c r="BH58" s="568"/>
      <c r="BI58" s="568"/>
      <c r="BJ58" s="568"/>
      <c r="BK58" s="568"/>
      <c r="BL58" s="568"/>
      <c r="BM58" s="568"/>
      <c r="BN58" s="568"/>
      <c r="BO58" s="568"/>
      <c r="BP58" s="568"/>
      <c r="BQ58" s="568"/>
      <c r="BR58" s="568"/>
      <c r="BS58" s="568"/>
      <c r="BT58" s="568"/>
      <c r="BU58" s="568"/>
      <c r="BV58" s="568"/>
      <c r="BW58" s="568"/>
      <c r="BX58" s="568"/>
    </row>
    <row r="59" spans="1:76" ht="15.75" thickBot="1" x14ac:dyDescent="0.3">
      <c r="A59" s="568"/>
      <c r="B59" s="568"/>
      <c r="C59" s="568"/>
      <c r="D59" s="568"/>
      <c r="E59" s="634"/>
      <c r="F59" s="634"/>
      <c r="G59" s="634"/>
      <c r="H59" s="634"/>
      <c r="I59" s="634"/>
      <c r="J59" s="634"/>
      <c r="K59" s="634"/>
      <c r="L59" s="634"/>
      <c r="M59" s="634"/>
      <c r="N59" s="634"/>
      <c r="O59" s="634"/>
      <c r="P59" s="634"/>
      <c r="Q59" s="634"/>
      <c r="R59" s="634"/>
      <c r="S59" s="634"/>
      <c r="T59" s="634"/>
      <c r="U59" s="634"/>
      <c r="V59" s="634"/>
      <c r="W59" s="634"/>
      <c r="X59" s="634"/>
      <c r="Y59" s="634"/>
      <c r="Z59" s="634"/>
      <c r="AA59" s="634"/>
      <c r="AB59" s="634"/>
      <c r="AC59" s="634"/>
      <c r="AD59" s="634"/>
      <c r="AE59" s="634"/>
      <c r="AF59" s="634"/>
      <c r="AG59" s="634"/>
      <c r="AH59" s="568"/>
      <c r="AI59" s="568"/>
      <c r="AJ59" s="568"/>
      <c r="AK59" s="568"/>
      <c r="AL59" s="568"/>
      <c r="AM59" s="568"/>
      <c r="AN59" s="568"/>
      <c r="AO59" s="568"/>
      <c r="AP59" s="568"/>
      <c r="AQ59" s="568"/>
      <c r="AR59" s="568"/>
      <c r="AS59" s="568"/>
      <c r="AT59" s="568"/>
      <c r="AU59" s="568"/>
      <c r="AV59" s="568"/>
      <c r="AW59" s="568"/>
      <c r="AX59" s="568"/>
      <c r="AY59" s="568"/>
      <c r="AZ59" s="568"/>
      <c r="BA59" s="568"/>
      <c r="BB59" s="568"/>
      <c r="BC59" s="568"/>
      <c r="BD59" s="568"/>
      <c r="BE59" s="568"/>
      <c r="BF59" s="568"/>
      <c r="BG59" s="568"/>
      <c r="BH59" s="568"/>
      <c r="BI59" s="568"/>
      <c r="BJ59" s="568"/>
      <c r="BK59" s="568"/>
      <c r="BL59" s="568"/>
      <c r="BM59" s="568"/>
      <c r="BN59" s="568"/>
      <c r="BO59" s="568"/>
      <c r="BP59" s="568"/>
      <c r="BQ59" s="568"/>
      <c r="BR59" s="568"/>
      <c r="BS59" s="568"/>
      <c r="BT59" s="568"/>
      <c r="BU59" s="568"/>
      <c r="BV59" s="568"/>
      <c r="BW59" s="568"/>
      <c r="BX59" s="568"/>
    </row>
    <row r="60" spans="1:76" ht="15.75" thickBot="1" x14ac:dyDescent="0.3">
      <c r="A60" s="568"/>
      <c r="B60" s="635" t="s">
        <v>71</v>
      </c>
      <c r="C60" s="923" t="s">
        <v>272</v>
      </c>
      <c r="D60" s="924"/>
      <c r="E60" s="500" t="s">
        <v>100</v>
      </c>
      <c r="F60" s="499" t="s">
        <v>101</v>
      </c>
      <c r="G60" s="499" t="s">
        <v>104</v>
      </c>
      <c r="H60" s="501" t="s">
        <v>105</v>
      </c>
      <c r="I60" s="500" t="s">
        <v>102</v>
      </c>
      <c r="J60" s="499" t="s">
        <v>103</v>
      </c>
      <c r="K60" s="499" t="s">
        <v>106</v>
      </c>
      <c r="L60" s="501" t="s">
        <v>107</v>
      </c>
      <c r="M60" s="500" t="s">
        <v>108</v>
      </c>
      <c r="N60" s="499" t="s">
        <v>109</v>
      </c>
      <c r="O60" s="499" t="s">
        <v>110</v>
      </c>
      <c r="P60" s="501" t="s">
        <v>111</v>
      </c>
      <c r="Q60" s="500" t="s">
        <v>112</v>
      </c>
      <c r="R60" s="499" t="s">
        <v>113</v>
      </c>
      <c r="S60" s="502" t="s">
        <v>114</v>
      </c>
      <c r="T60" s="503" t="s">
        <v>115</v>
      </c>
      <c r="U60" s="500" t="s">
        <v>116</v>
      </c>
      <c r="V60" s="499" t="s">
        <v>117</v>
      </c>
      <c r="W60" s="499" t="s">
        <v>118</v>
      </c>
      <c r="X60" s="501" t="s">
        <v>119</v>
      </c>
      <c r="Y60" s="500" t="s">
        <v>242</v>
      </c>
      <c r="Z60" s="499" t="s">
        <v>243</v>
      </c>
      <c r="AA60" s="499" t="s">
        <v>333</v>
      </c>
      <c r="AB60" s="501" t="s">
        <v>334</v>
      </c>
      <c r="AC60" s="500" t="s">
        <v>355</v>
      </c>
      <c r="AD60" s="500" t="s">
        <v>356</v>
      </c>
      <c r="AE60" s="500" t="s">
        <v>357</v>
      </c>
      <c r="AF60" s="500" t="s">
        <v>358</v>
      </c>
      <c r="AG60" s="568"/>
      <c r="AH60" s="500">
        <v>2014</v>
      </c>
      <c r="AI60" s="499">
        <v>2015</v>
      </c>
      <c r="AJ60" s="499">
        <v>2016</v>
      </c>
      <c r="AK60" s="499">
        <v>2017</v>
      </c>
      <c r="AL60" s="499">
        <v>2018</v>
      </c>
      <c r="AM60" s="499">
        <v>2019</v>
      </c>
      <c r="AN60" s="501">
        <v>2020</v>
      </c>
      <c r="AO60" s="568"/>
      <c r="AP60" s="568"/>
      <c r="AQ60" s="568"/>
      <c r="AR60" s="568"/>
      <c r="AS60" s="568"/>
      <c r="AT60" s="568"/>
      <c r="AU60" s="568"/>
      <c r="AV60" s="568"/>
      <c r="AW60" s="568"/>
      <c r="AX60" s="568"/>
      <c r="AY60" s="568"/>
      <c r="AZ60" s="568"/>
      <c r="BA60" s="568"/>
      <c r="BB60" s="568"/>
      <c r="BC60" s="568"/>
      <c r="BD60" s="568"/>
      <c r="BE60" s="568"/>
      <c r="BF60" s="568"/>
      <c r="BG60" s="568"/>
      <c r="BH60" s="568"/>
      <c r="BI60" s="568"/>
      <c r="BJ60" s="568"/>
      <c r="BK60" s="568"/>
      <c r="BL60" s="568"/>
      <c r="BM60" s="568"/>
      <c r="BN60" s="568"/>
      <c r="BO60" s="568"/>
      <c r="BP60" s="568"/>
      <c r="BQ60" s="568"/>
      <c r="BR60" s="568"/>
      <c r="BS60" s="568"/>
      <c r="BT60" s="568"/>
      <c r="BU60" s="568"/>
      <c r="BV60" s="568"/>
      <c r="BW60" s="568"/>
      <c r="BX60" s="568"/>
    </row>
    <row r="61" spans="1:76" x14ac:dyDescent="0.25">
      <c r="A61" s="568"/>
      <c r="B61" s="636" t="s">
        <v>247</v>
      </c>
      <c r="C61" s="911" t="s">
        <v>277</v>
      </c>
      <c r="D61" s="912"/>
      <c r="E61" s="127">
        <v>0</v>
      </c>
      <c r="F61" s="128">
        <v>0</v>
      </c>
      <c r="G61" s="128">
        <v>0</v>
      </c>
      <c r="H61" s="129">
        <v>1.3000000000000002E-3</v>
      </c>
      <c r="I61" s="127">
        <v>3.2500000000000001E-2</v>
      </c>
      <c r="J61" s="128">
        <v>0</v>
      </c>
      <c r="K61" s="128">
        <v>0</v>
      </c>
      <c r="L61" s="129">
        <v>9.1000000000000004E-3</v>
      </c>
      <c r="M61" s="127">
        <v>0</v>
      </c>
      <c r="N61" s="128">
        <v>0</v>
      </c>
      <c r="O61" s="128">
        <v>0</v>
      </c>
      <c r="P61" s="129">
        <v>6.5000000000000006E-3</v>
      </c>
      <c r="Q61" s="127">
        <v>0</v>
      </c>
      <c r="R61" s="128">
        <v>0</v>
      </c>
      <c r="S61" s="134">
        <v>0</v>
      </c>
      <c r="T61" s="135">
        <v>0</v>
      </c>
      <c r="U61" s="127">
        <v>1.8200000000000001E-2</v>
      </c>
      <c r="V61" s="128">
        <v>0</v>
      </c>
      <c r="W61" s="128">
        <v>0</v>
      </c>
      <c r="X61" s="129">
        <v>2.0800000000000003E-2</v>
      </c>
      <c r="Y61" s="127">
        <v>0.22100000000000003</v>
      </c>
      <c r="Z61" s="128">
        <v>0.76830000000000009</v>
      </c>
      <c r="AA61" s="128">
        <v>0.32500000000000001</v>
      </c>
      <c r="AB61" s="129">
        <v>28.2776</v>
      </c>
      <c r="AC61" s="122">
        <v>0</v>
      </c>
      <c r="AD61" s="122">
        <v>33.1877</v>
      </c>
      <c r="AE61" s="122">
        <v>91.891800000000018</v>
      </c>
      <c r="AF61" s="122">
        <v>53.397500000000001</v>
      </c>
      <c r="AG61" s="568"/>
      <c r="AH61" s="127">
        <f t="shared" ref="AH61:AH100" si="11">SUM(E61:H61)</f>
        <v>1.3000000000000002E-3</v>
      </c>
      <c r="AI61" s="128">
        <f t="shared" ref="AI61:AI100" si="12">SUM(I61:L61)</f>
        <v>4.1599999999999998E-2</v>
      </c>
      <c r="AJ61" s="128">
        <f t="shared" ref="AJ61:AJ100" si="13">SUM(M61:P61)</f>
        <v>6.5000000000000006E-3</v>
      </c>
      <c r="AK61" s="128">
        <f t="shared" ref="AK61:AK100" si="14">SUM(Q61:T61)</f>
        <v>0</v>
      </c>
      <c r="AL61" s="128">
        <f t="shared" ref="AL61:AL100" si="15">SUM(U61:X61)</f>
        <v>3.9000000000000007E-2</v>
      </c>
      <c r="AM61" s="128">
        <f t="shared" ref="AM61:AM100" si="16">SUM(Y61:AB61)</f>
        <v>29.591899999999999</v>
      </c>
      <c r="AN61" s="123">
        <f>SUM(AC61:AF61)</f>
        <v>178.47700000000003</v>
      </c>
      <c r="AO61" s="568"/>
      <c r="AP61" s="568"/>
      <c r="AQ61" s="568"/>
      <c r="AR61" s="568"/>
      <c r="AS61" s="568"/>
      <c r="AT61" s="568"/>
      <c r="AU61" s="568"/>
      <c r="AV61" s="568"/>
      <c r="AW61" s="568"/>
      <c r="AX61" s="568"/>
      <c r="AY61" s="568"/>
      <c r="AZ61" s="568"/>
      <c r="BA61" s="568"/>
      <c r="BB61" s="568"/>
      <c r="BC61" s="568"/>
      <c r="BD61" s="568"/>
      <c r="BE61" s="568"/>
      <c r="BF61" s="568"/>
      <c r="BG61" s="568"/>
      <c r="BH61" s="568"/>
      <c r="BI61" s="568"/>
      <c r="BJ61" s="568"/>
      <c r="BK61" s="568"/>
      <c r="BL61" s="568"/>
      <c r="BM61" s="568"/>
      <c r="BN61" s="568"/>
      <c r="BO61" s="568"/>
      <c r="BP61" s="568"/>
      <c r="BQ61" s="568"/>
      <c r="BR61" s="568"/>
      <c r="BS61" s="568"/>
      <c r="BT61" s="568"/>
      <c r="BU61" s="568"/>
      <c r="BV61" s="568"/>
      <c r="BW61" s="568"/>
      <c r="BX61" s="568"/>
    </row>
    <row r="62" spans="1:76" x14ac:dyDescent="0.25">
      <c r="A62" s="568"/>
      <c r="B62" s="637" t="s">
        <v>188</v>
      </c>
      <c r="C62" s="913"/>
      <c r="D62" s="914"/>
      <c r="E62" s="121">
        <v>0</v>
      </c>
      <c r="F62" s="122">
        <v>0</v>
      </c>
      <c r="G62" s="122">
        <v>0</v>
      </c>
      <c r="H62" s="123">
        <v>1.3000000000000002E-3</v>
      </c>
      <c r="I62" s="121">
        <v>3.2500000000000001E-2</v>
      </c>
      <c r="J62" s="122">
        <v>0</v>
      </c>
      <c r="K62" s="122">
        <v>0</v>
      </c>
      <c r="L62" s="123">
        <v>0</v>
      </c>
      <c r="M62" s="121">
        <v>0</v>
      </c>
      <c r="N62" s="122">
        <v>0</v>
      </c>
      <c r="O62" s="122">
        <v>0</v>
      </c>
      <c r="P62" s="123">
        <v>6.5000000000000006E-3</v>
      </c>
      <c r="Q62" s="121">
        <v>0</v>
      </c>
      <c r="R62" s="122">
        <v>0</v>
      </c>
      <c r="S62" s="136">
        <v>0</v>
      </c>
      <c r="T62" s="137">
        <v>0</v>
      </c>
      <c r="U62" s="121">
        <v>1.8200000000000001E-2</v>
      </c>
      <c r="V62" s="122">
        <v>0</v>
      </c>
      <c r="W62" s="122">
        <v>0</v>
      </c>
      <c r="X62" s="123">
        <v>0</v>
      </c>
      <c r="Y62" s="121">
        <v>0.22100000000000003</v>
      </c>
      <c r="Z62" s="122">
        <v>0.51350000000000007</v>
      </c>
      <c r="AA62" s="122">
        <v>0</v>
      </c>
      <c r="AB62" s="123">
        <v>9.8799999999999999E-2</v>
      </c>
      <c r="AC62" s="122">
        <v>0</v>
      </c>
      <c r="AD62" s="122">
        <v>0</v>
      </c>
      <c r="AE62" s="122">
        <v>0</v>
      </c>
      <c r="AF62" s="122">
        <v>0</v>
      </c>
      <c r="AG62" s="568"/>
      <c r="AH62" s="121">
        <f t="shared" si="11"/>
        <v>1.3000000000000002E-3</v>
      </c>
      <c r="AI62" s="122">
        <f t="shared" si="12"/>
        <v>3.2500000000000001E-2</v>
      </c>
      <c r="AJ62" s="122">
        <f t="shared" si="13"/>
        <v>6.5000000000000006E-3</v>
      </c>
      <c r="AK62" s="122">
        <f t="shared" si="14"/>
        <v>0</v>
      </c>
      <c r="AL62" s="122">
        <f t="shared" si="15"/>
        <v>1.8200000000000001E-2</v>
      </c>
      <c r="AM62" s="122">
        <f t="shared" si="16"/>
        <v>0.83330000000000015</v>
      </c>
      <c r="AN62" s="123">
        <f t="shared" ref="AN62:AN100" si="17">SUM(AC62:AF62)</f>
        <v>0</v>
      </c>
      <c r="AO62" s="568"/>
      <c r="AP62" s="568"/>
      <c r="AQ62" s="568"/>
      <c r="AR62" s="568"/>
      <c r="AS62" s="568"/>
      <c r="AT62" s="568"/>
      <c r="AU62" s="568"/>
      <c r="AV62" s="568"/>
      <c r="AW62" s="568"/>
      <c r="AX62" s="568"/>
      <c r="AY62" s="568"/>
      <c r="AZ62" s="568"/>
      <c r="BA62" s="568"/>
      <c r="BB62" s="568"/>
      <c r="BC62" s="568"/>
      <c r="BD62" s="568"/>
      <c r="BE62" s="568"/>
      <c r="BF62" s="568"/>
      <c r="BG62" s="568"/>
      <c r="BH62" s="568"/>
      <c r="BI62" s="568"/>
      <c r="BJ62" s="568"/>
      <c r="BK62" s="568"/>
      <c r="BL62" s="568"/>
      <c r="BM62" s="568"/>
      <c r="BN62" s="568"/>
      <c r="BO62" s="568"/>
      <c r="BP62" s="568"/>
      <c r="BQ62" s="568"/>
      <c r="BR62" s="568"/>
      <c r="BS62" s="568"/>
      <c r="BT62" s="568"/>
      <c r="BU62" s="568"/>
      <c r="BV62" s="568"/>
      <c r="BW62" s="568"/>
      <c r="BX62" s="568"/>
    </row>
    <row r="63" spans="1:76" x14ac:dyDescent="0.25">
      <c r="A63" s="568"/>
      <c r="B63" s="637" t="s">
        <v>189</v>
      </c>
      <c r="C63" s="913"/>
      <c r="D63" s="914"/>
      <c r="E63" s="121">
        <v>0</v>
      </c>
      <c r="F63" s="122">
        <v>0</v>
      </c>
      <c r="G63" s="122">
        <v>0</v>
      </c>
      <c r="H63" s="123">
        <v>0</v>
      </c>
      <c r="I63" s="121">
        <v>0</v>
      </c>
      <c r="J63" s="122">
        <v>0</v>
      </c>
      <c r="K63" s="122">
        <v>0</v>
      </c>
      <c r="L63" s="123">
        <v>9.1000000000000004E-3</v>
      </c>
      <c r="M63" s="121">
        <v>0</v>
      </c>
      <c r="N63" s="122">
        <v>0</v>
      </c>
      <c r="O63" s="122">
        <v>0</v>
      </c>
      <c r="P63" s="123">
        <v>0</v>
      </c>
      <c r="Q63" s="121">
        <v>0</v>
      </c>
      <c r="R63" s="122">
        <v>0</v>
      </c>
      <c r="S63" s="136">
        <v>0</v>
      </c>
      <c r="T63" s="137">
        <v>0</v>
      </c>
      <c r="U63" s="121">
        <v>0</v>
      </c>
      <c r="V63" s="122">
        <v>0</v>
      </c>
      <c r="W63" s="122">
        <v>0</v>
      </c>
      <c r="X63" s="123">
        <v>2.0800000000000003E-2</v>
      </c>
      <c r="Y63" s="121">
        <v>0</v>
      </c>
      <c r="Z63" s="122">
        <v>0.25480000000000003</v>
      </c>
      <c r="AA63" s="122">
        <v>0.32500000000000001</v>
      </c>
      <c r="AB63" s="123">
        <v>28.178799999999999</v>
      </c>
      <c r="AC63" s="122">
        <v>0</v>
      </c>
      <c r="AD63" s="122">
        <v>33.1877</v>
      </c>
      <c r="AE63" s="122">
        <v>91.891800000000018</v>
      </c>
      <c r="AF63" s="122">
        <v>53.397500000000001</v>
      </c>
      <c r="AG63" s="568"/>
      <c r="AH63" s="121">
        <f t="shared" si="11"/>
        <v>0</v>
      </c>
      <c r="AI63" s="122">
        <f t="shared" si="12"/>
        <v>9.1000000000000004E-3</v>
      </c>
      <c r="AJ63" s="122">
        <f t="shared" si="13"/>
        <v>0</v>
      </c>
      <c r="AK63" s="122">
        <f t="shared" si="14"/>
        <v>0</v>
      </c>
      <c r="AL63" s="122">
        <f t="shared" si="15"/>
        <v>2.0800000000000003E-2</v>
      </c>
      <c r="AM63" s="122">
        <f t="shared" si="16"/>
        <v>28.758599999999998</v>
      </c>
      <c r="AN63" s="123">
        <f t="shared" si="17"/>
        <v>178.47700000000003</v>
      </c>
      <c r="AO63" s="568"/>
      <c r="AP63" s="568"/>
      <c r="AQ63" s="568"/>
      <c r="AR63" s="568"/>
      <c r="AS63" s="568"/>
      <c r="AT63" s="568"/>
      <c r="AU63" s="568"/>
      <c r="AV63" s="568"/>
      <c r="AW63" s="568"/>
      <c r="AX63" s="568"/>
      <c r="AY63" s="568"/>
      <c r="AZ63" s="568"/>
      <c r="BA63" s="568"/>
      <c r="BB63" s="568"/>
      <c r="BC63" s="568"/>
      <c r="BD63" s="568"/>
      <c r="BE63" s="568"/>
      <c r="BF63" s="568"/>
      <c r="BG63" s="568"/>
      <c r="BH63" s="568"/>
      <c r="BI63" s="568"/>
      <c r="BJ63" s="568"/>
      <c r="BK63" s="568"/>
      <c r="BL63" s="568"/>
      <c r="BM63" s="568"/>
      <c r="BN63" s="568"/>
      <c r="BO63" s="568"/>
      <c r="BP63" s="568"/>
      <c r="BQ63" s="568"/>
      <c r="BR63" s="568"/>
      <c r="BS63" s="568"/>
      <c r="BT63" s="568"/>
      <c r="BU63" s="568"/>
      <c r="BV63" s="568"/>
      <c r="BW63" s="568"/>
      <c r="BX63" s="568"/>
    </row>
    <row r="64" spans="1:76" x14ac:dyDescent="0.25">
      <c r="A64" s="568"/>
      <c r="B64" s="637" t="s">
        <v>195</v>
      </c>
      <c r="C64" s="915"/>
      <c r="D64" s="916"/>
      <c r="E64" s="121">
        <v>0</v>
      </c>
      <c r="F64" s="122">
        <v>0</v>
      </c>
      <c r="G64" s="122">
        <v>0</v>
      </c>
      <c r="H64" s="123">
        <v>0</v>
      </c>
      <c r="I64" s="121">
        <v>0</v>
      </c>
      <c r="J64" s="122">
        <v>0</v>
      </c>
      <c r="K64" s="122">
        <v>0</v>
      </c>
      <c r="L64" s="123">
        <v>0</v>
      </c>
      <c r="M64" s="121">
        <v>0</v>
      </c>
      <c r="N64" s="122">
        <v>0</v>
      </c>
      <c r="O64" s="122">
        <v>0</v>
      </c>
      <c r="P64" s="123">
        <v>6.5000000000000006E-3</v>
      </c>
      <c r="Q64" s="121">
        <v>0</v>
      </c>
      <c r="R64" s="122">
        <v>0</v>
      </c>
      <c r="S64" s="136">
        <v>0</v>
      </c>
      <c r="T64" s="137">
        <v>0</v>
      </c>
      <c r="U64" s="121">
        <v>1.8200000000000001E-2</v>
      </c>
      <c r="V64" s="122">
        <v>0</v>
      </c>
      <c r="W64" s="122">
        <v>0</v>
      </c>
      <c r="X64" s="123">
        <v>0</v>
      </c>
      <c r="Y64" s="121">
        <v>0.22100000000000003</v>
      </c>
      <c r="Z64" s="122">
        <v>0.76830000000000009</v>
      </c>
      <c r="AA64" s="122">
        <v>0.32500000000000001</v>
      </c>
      <c r="AB64" s="123">
        <v>28.178799999999999</v>
      </c>
      <c r="AC64" s="122">
        <v>0</v>
      </c>
      <c r="AD64" s="122">
        <v>30.6111</v>
      </c>
      <c r="AE64" s="122">
        <v>0</v>
      </c>
      <c r="AF64" s="122">
        <v>12.3695</v>
      </c>
      <c r="AG64" s="568"/>
      <c r="AH64" s="121">
        <f t="shared" si="11"/>
        <v>0</v>
      </c>
      <c r="AI64" s="122">
        <f t="shared" si="12"/>
        <v>0</v>
      </c>
      <c r="AJ64" s="122">
        <f t="shared" si="13"/>
        <v>6.5000000000000006E-3</v>
      </c>
      <c r="AK64" s="122">
        <f t="shared" si="14"/>
        <v>0</v>
      </c>
      <c r="AL64" s="122">
        <f t="shared" si="15"/>
        <v>1.8200000000000001E-2</v>
      </c>
      <c r="AM64" s="122">
        <f t="shared" si="16"/>
        <v>29.493099999999998</v>
      </c>
      <c r="AN64" s="123">
        <f t="shared" si="17"/>
        <v>42.980600000000003</v>
      </c>
      <c r="AO64" s="568"/>
      <c r="AP64" s="568"/>
      <c r="AQ64" s="568"/>
      <c r="AR64" s="568"/>
      <c r="AS64" s="568"/>
      <c r="AT64" s="568"/>
      <c r="AU64" s="568"/>
      <c r="AV64" s="568"/>
      <c r="AW64" s="568"/>
      <c r="AX64" s="568"/>
      <c r="AY64" s="568"/>
      <c r="AZ64" s="568"/>
      <c r="BA64" s="568"/>
      <c r="BB64" s="568"/>
      <c r="BC64" s="568"/>
      <c r="BD64" s="568"/>
      <c r="BE64" s="568"/>
      <c r="BF64" s="568"/>
      <c r="BG64" s="568"/>
      <c r="BH64" s="568"/>
      <c r="BI64" s="568"/>
      <c r="BJ64" s="568"/>
      <c r="BK64" s="568"/>
      <c r="BL64" s="568"/>
      <c r="BM64" s="568"/>
      <c r="BN64" s="568"/>
      <c r="BO64" s="568"/>
      <c r="BP64" s="568"/>
      <c r="BQ64" s="568"/>
      <c r="BR64" s="568"/>
      <c r="BS64" s="568"/>
      <c r="BT64" s="568"/>
      <c r="BU64" s="568"/>
      <c r="BV64" s="568"/>
      <c r="BW64" s="568"/>
      <c r="BX64" s="568"/>
    </row>
    <row r="65" spans="1:76" x14ac:dyDescent="0.25">
      <c r="A65" s="568"/>
      <c r="B65" s="638" t="s">
        <v>247</v>
      </c>
      <c r="C65" s="917" t="s">
        <v>278</v>
      </c>
      <c r="D65" s="918"/>
      <c r="E65" s="124">
        <v>70.072599999999994</v>
      </c>
      <c r="F65" s="125">
        <v>38.554100000000005</v>
      </c>
      <c r="G65" s="125">
        <v>52.497900000000001</v>
      </c>
      <c r="H65" s="126">
        <v>58.334900000000005</v>
      </c>
      <c r="I65" s="124">
        <v>33.893599999999999</v>
      </c>
      <c r="J65" s="125">
        <v>33.026499999999999</v>
      </c>
      <c r="K65" s="125">
        <v>29.396899999999999</v>
      </c>
      <c r="L65" s="126">
        <v>52.131299999999996</v>
      </c>
      <c r="M65" s="124">
        <v>23.467600000000001</v>
      </c>
      <c r="N65" s="125">
        <v>16.918200000000002</v>
      </c>
      <c r="O65" s="125">
        <v>18.171400000000002</v>
      </c>
      <c r="P65" s="126">
        <v>27.960400000000003</v>
      </c>
      <c r="Q65" s="124">
        <v>24.3659</v>
      </c>
      <c r="R65" s="125">
        <v>22.133800000000004</v>
      </c>
      <c r="S65" s="138">
        <v>20.7363</v>
      </c>
      <c r="T65" s="139">
        <v>19.184100000000001</v>
      </c>
      <c r="U65" s="124">
        <v>23.926500000000001</v>
      </c>
      <c r="V65" s="125">
        <v>45.436300000000003</v>
      </c>
      <c r="W65" s="125">
        <v>22.3795</v>
      </c>
      <c r="X65" s="126">
        <v>27.435200000000002</v>
      </c>
      <c r="Y65" s="124">
        <v>25.775100000000002</v>
      </c>
      <c r="Z65" s="125">
        <v>23.869299999999999</v>
      </c>
      <c r="AA65" s="125">
        <v>32.160699999999999</v>
      </c>
      <c r="AB65" s="126">
        <v>21.873800000000003</v>
      </c>
      <c r="AC65" s="125">
        <v>7.8883999999999999</v>
      </c>
      <c r="AD65" s="125">
        <v>6.9420000000000002</v>
      </c>
      <c r="AE65" s="125">
        <v>9.5108000000000015</v>
      </c>
      <c r="AF65" s="125">
        <v>27.927900000000005</v>
      </c>
      <c r="AG65" s="568"/>
      <c r="AH65" s="124">
        <f t="shared" si="11"/>
        <v>219.45949999999999</v>
      </c>
      <c r="AI65" s="125">
        <f t="shared" si="12"/>
        <v>148.44829999999999</v>
      </c>
      <c r="AJ65" s="125">
        <f t="shared" si="13"/>
        <v>86.517600000000016</v>
      </c>
      <c r="AK65" s="125">
        <f t="shared" si="14"/>
        <v>86.420100000000005</v>
      </c>
      <c r="AL65" s="125">
        <f t="shared" si="15"/>
        <v>119.17750000000001</v>
      </c>
      <c r="AM65" s="125">
        <f t="shared" si="16"/>
        <v>103.67890000000001</v>
      </c>
      <c r="AN65" s="126">
        <f t="shared" si="17"/>
        <v>52.269100000000009</v>
      </c>
      <c r="AO65" s="568"/>
      <c r="AP65" s="568"/>
      <c r="AQ65" s="568"/>
      <c r="AR65" s="568"/>
      <c r="AS65" s="568"/>
      <c r="AT65" s="568"/>
      <c r="AU65" s="568"/>
      <c r="AV65" s="568"/>
      <c r="AW65" s="568"/>
      <c r="AX65" s="568"/>
      <c r="AY65" s="568"/>
      <c r="AZ65" s="568"/>
      <c r="BA65" s="568"/>
      <c r="BB65" s="568"/>
      <c r="BC65" s="568"/>
      <c r="BD65" s="568"/>
      <c r="BE65" s="568"/>
      <c r="BF65" s="568"/>
      <c r="BG65" s="568"/>
      <c r="BH65" s="568"/>
      <c r="BI65" s="568"/>
      <c r="BJ65" s="568"/>
      <c r="BK65" s="568"/>
      <c r="BL65" s="568"/>
      <c r="BM65" s="568"/>
      <c r="BN65" s="568"/>
      <c r="BO65" s="568"/>
      <c r="BP65" s="568"/>
      <c r="BQ65" s="568"/>
      <c r="BR65" s="568"/>
      <c r="BS65" s="568"/>
      <c r="BT65" s="568"/>
      <c r="BU65" s="568"/>
      <c r="BV65" s="568"/>
      <c r="BW65" s="568"/>
      <c r="BX65" s="568"/>
    </row>
    <row r="66" spans="1:76" x14ac:dyDescent="0.25">
      <c r="A66" s="568"/>
      <c r="B66" s="638" t="s">
        <v>188</v>
      </c>
      <c r="C66" s="919"/>
      <c r="D66" s="920"/>
      <c r="E66" s="124">
        <v>31.908500000000004</v>
      </c>
      <c r="F66" s="125">
        <v>16.858400000000003</v>
      </c>
      <c r="G66" s="125">
        <v>24.403600000000004</v>
      </c>
      <c r="H66" s="126">
        <v>21.223800000000001</v>
      </c>
      <c r="I66" s="124">
        <v>19.1724</v>
      </c>
      <c r="J66" s="125">
        <v>10.294699999999999</v>
      </c>
      <c r="K66" s="125">
        <v>13.804699999999999</v>
      </c>
      <c r="L66" s="126">
        <v>22.601799999999997</v>
      </c>
      <c r="M66" s="124">
        <v>10.630100000000001</v>
      </c>
      <c r="N66" s="125">
        <v>15.607800000000001</v>
      </c>
      <c r="O66" s="125">
        <v>16.624400000000001</v>
      </c>
      <c r="P66" s="126">
        <v>24.319100000000002</v>
      </c>
      <c r="Q66" s="124">
        <v>19.8263</v>
      </c>
      <c r="R66" s="125">
        <v>19.536400000000004</v>
      </c>
      <c r="S66" s="138">
        <v>18.092100000000002</v>
      </c>
      <c r="T66" s="139">
        <v>17.4772</v>
      </c>
      <c r="U66" s="124">
        <v>10.312900000000001</v>
      </c>
      <c r="V66" s="125">
        <v>13.874900000000002</v>
      </c>
      <c r="W66" s="125">
        <v>19.938099999999999</v>
      </c>
      <c r="X66" s="126">
        <v>25.888200000000001</v>
      </c>
      <c r="Y66" s="124">
        <v>23.502700000000001</v>
      </c>
      <c r="Z66" s="125">
        <v>23.233599999999999</v>
      </c>
      <c r="AA66" s="125">
        <v>9.0337000000000014</v>
      </c>
      <c r="AB66" s="126">
        <v>21.873800000000003</v>
      </c>
      <c r="AC66" s="125">
        <v>7.8883999999999999</v>
      </c>
      <c r="AD66" s="125">
        <v>6.0800999999999998</v>
      </c>
      <c r="AE66" s="125">
        <v>8.017100000000001</v>
      </c>
      <c r="AF66" s="125">
        <v>26.822900000000004</v>
      </c>
      <c r="AG66" s="568"/>
      <c r="AH66" s="124">
        <f t="shared" si="11"/>
        <v>94.394300000000001</v>
      </c>
      <c r="AI66" s="125">
        <f t="shared" si="12"/>
        <v>65.873599999999996</v>
      </c>
      <c r="AJ66" s="125">
        <f t="shared" si="13"/>
        <v>67.181400000000011</v>
      </c>
      <c r="AK66" s="125">
        <f t="shared" si="14"/>
        <v>74.932000000000002</v>
      </c>
      <c r="AL66" s="125">
        <f t="shared" si="15"/>
        <v>70.014099999999999</v>
      </c>
      <c r="AM66" s="125">
        <f t="shared" si="16"/>
        <v>77.643799999999999</v>
      </c>
      <c r="AN66" s="126">
        <f t="shared" si="17"/>
        <v>48.808500000000002</v>
      </c>
      <c r="AO66" s="568"/>
      <c r="AP66" s="568"/>
      <c r="AQ66" s="568"/>
      <c r="AR66" s="568"/>
      <c r="AS66" s="568"/>
      <c r="AT66" s="568"/>
      <c r="AU66" s="568"/>
      <c r="AV66" s="568"/>
      <c r="AW66" s="568"/>
      <c r="AX66" s="568"/>
      <c r="AY66" s="568"/>
      <c r="AZ66" s="568"/>
      <c r="BA66" s="568"/>
      <c r="BB66" s="568"/>
      <c r="BC66" s="568"/>
      <c r="BD66" s="568"/>
      <c r="BE66" s="568"/>
      <c r="BF66" s="568"/>
      <c r="BG66" s="568"/>
      <c r="BH66" s="568"/>
      <c r="BI66" s="568"/>
      <c r="BJ66" s="568"/>
      <c r="BK66" s="568"/>
      <c r="BL66" s="568"/>
      <c r="BM66" s="568"/>
      <c r="BN66" s="568"/>
      <c r="BO66" s="568"/>
      <c r="BP66" s="568"/>
      <c r="BQ66" s="568"/>
      <c r="BR66" s="568"/>
      <c r="BS66" s="568"/>
      <c r="BT66" s="568"/>
      <c r="BU66" s="568"/>
      <c r="BV66" s="568"/>
      <c r="BW66" s="568"/>
      <c r="BX66" s="568"/>
    </row>
    <row r="67" spans="1:76" x14ac:dyDescent="0.25">
      <c r="A67" s="568"/>
      <c r="B67" s="638" t="s">
        <v>189</v>
      </c>
      <c r="C67" s="919"/>
      <c r="D67" s="920"/>
      <c r="E67" s="124">
        <v>38.164099999999998</v>
      </c>
      <c r="F67" s="125">
        <v>21.695700000000002</v>
      </c>
      <c r="G67" s="125">
        <v>28.0943</v>
      </c>
      <c r="H67" s="126">
        <v>37.1111</v>
      </c>
      <c r="I67" s="124">
        <v>14.7212</v>
      </c>
      <c r="J67" s="125">
        <v>22.731800000000003</v>
      </c>
      <c r="K67" s="125">
        <v>15.5922</v>
      </c>
      <c r="L67" s="126">
        <v>29.529500000000002</v>
      </c>
      <c r="M67" s="124">
        <v>12.8375</v>
      </c>
      <c r="N67" s="125">
        <v>1.3104</v>
      </c>
      <c r="O67" s="125">
        <v>1.5469999999999999</v>
      </c>
      <c r="P67" s="126">
        <v>3.6413000000000002</v>
      </c>
      <c r="Q67" s="124">
        <v>4.5396000000000001</v>
      </c>
      <c r="R67" s="125">
        <v>2.5973999999999999</v>
      </c>
      <c r="S67" s="138">
        <v>2.6441999999999997</v>
      </c>
      <c r="T67" s="139">
        <v>1.7069000000000001</v>
      </c>
      <c r="U67" s="124">
        <v>13.6136</v>
      </c>
      <c r="V67" s="125">
        <v>31.561399999999999</v>
      </c>
      <c r="W67" s="125">
        <v>2.4414000000000002</v>
      </c>
      <c r="X67" s="126">
        <v>1.5469999999999999</v>
      </c>
      <c r="Y67" s="124">
        <v>2.2724000000000002</v>
      </c>
      <c r="Z67" s="125">
        <v>0.63570000000000004</v>
      </c>
      <c r="AA67" s="125">
        <v>23.126999999999999</v>
      </c>
      <c r="AB67" s="126">
        <v>0</v>
      </c>
      <c r="AC67" s="125">
        <v>0</v>
      </c>
      <c r="AD67" s="125">
        <v>0.86190000000000011</v>
      </c>
      <c r="AE67" s="125">
        <v>1.4937</v>
      </c>
      <c r="AF67" s="125">
        <v>1.105</v>
      </c>
      <c r="AG67" s="568"/>
      <c r="AH67" s="124">
        <f t="shared" si="11"/>
        <v>125.0652</v>
      </c>
      <c r="AI67" s="125">
        <f t="shared" si="12"/>
        <v>82.574700000000007</v>
      </c>
      <c r="AJ67" s="125">
        <f t="shared" si="13"/>
        <v>19.336200000000002</v>
      </c>
      <c r="AK67" s="125">
        <f t="shared" si="14"/>
        <v>11.488099999999999</v>
      </c>
      <c r="AL67" s="125">
        <f t="shared" si="15"/>
        <v>49.163399999999996</v>
      </c>
      <c r="AM67" s="125">
        <f t="shared" si="16"/>
        <v>26.0351</v>
      </c>
      <c r="AN67" s="126">
        <f t="shared" si="17"/>
        <v>3.4605999999999999</v>
      </c>
      <c r="AO67" s="568"/>
      <c r="AP67" s="568"/>
      <c r="AQ67" s="568"/>
      <c r="AR67" s="568"/>
      <c r="AS67" s="568"/>
      <c r="AT67" s="568"/>
      <c r="AU67" s="568"/>
      <c r="AV67" s="568"/>
      <c r="AW67" s="568"/>
      <c r="AX67" s="568"/>
      <c r="AY67" s="568"/>
      <c r="AZ67" s="568"/>
      <c r="BA67" s="568"/>
      <c r="BB67" s="568"/>
      <c r="BC67" s="568"/>
      <c r="BD67" s="568"/>
      <c r="BE67" s="568"/>
      <c r="BF67" s="568"/>
      <c r="BG67" s="568"/>
      <c r="BH67" s="568"/>
      <c r="BI67" s="568"/>
      <c r="BJ67" s="568"/>
      <c r="BK67" s="568"/>
      <c r="BL67" s="568"/>
      <c r="BM67" s="568"/>
      <c r="BN67" s="568"/>
      <c r="BO67" s="568"/>
      <c r="BP67" s="568"/>
      <c r="BQ67" s="568"/>
      <c r="BR67" s="568"/>
      <c r="BS67" s="568"/>
      <c r="BT67" s="568"/>
      <c r="BU67" s="568"/>
      <c r="BV67" s="568"/>
      <c r="BW67" s="568"/>
      <c r="BX67" s="568"/>
    </row>
    <row r="68" spans="1:76" ht="15.75" thickBot="1" x14ac:dyDescent="0.3">
      <c r="A68" s="568"/>
      <c r="B68" s="639" t="s">
        <v>195</v>
      </c>
      <c r="C68" s="921"/>
      <c r="D68" s="922"/>
      <c r="E68" s="130">
        <v>69.777500000000003</v>
      </c>
      <c r="F68" s="131">
        <v>38.340900000000005</v>
      </c>
      <c r="G68" s="131">
        <v>52.432900000000004</v>
      </c>
      <c r="H68" s="132">
        <v>58.281599999999997</v>
      </c>
      <c r="I68" s="130">
        <v>33.8078</v>
      </c>
      <c r="J68" s="131">
        <v>32.988800000000005</v>
      </c>
      <c r="K68" s="131">
        <v>29.084899999999998</v>
      </c>
      <c r="L68" s="132">
        <v>52.010400000000004</v>
      </c>
      <c r="M68" s="130">
        <v>23.4208</v>
      </c>
      <c r="N68" s="131">
        <v>16.914300000000001</v>
      </c>
      <c r="O68" s="131">
        <v>18.1675</v>
      </c>
      <c r="P68" s="132">
        <v>27.439100000000003</v>
      </c>
      <c r="Q68" s="130">
        <v>24.231999999999999</v>
      </c>
      <c r="R68" s="131">
        <v>22.120800000000003</v>
      </c>
      <c r="S68" s="140">
        <v>20.7363</v>
      </c>
      <c r="T68" s="141">
        <v>19.134700000000002</v>
      </c>
      <c r="U68" s="130">
        <v>23.926500000000001</v>
      </c>
      <c r="V68" s="131">
        <v>45.363500000000002</v>
      </c>
      <c r="W68" s="131">
        <v>21.202999999999999</v>
      </c>
      <c r="X68" s="132">
        <v>27.393600000000003</v>
      </c>
      <c r="Y68" s="130">
        <v>25.563200000000002</v>
      </c>
      <c r="Z68" s="131">
        <v>23.2271</v>
      </c>
      <c r="AA68" s="131">
        <v>31.5809</v>
      </c>
      <c r="AB68" s="132">
        <v>21.873800000000003</v>
      </c>
      <c r="AC68" s="125">
        <v>7.8883999999999999</v>
      </c>
      <c r="AD68" s="125">
        <v>6.9420000000000002</v>
      </c>
      <c r="AE68" s="125">
        <v>8.5045999999999999</v>
      </c>
      <c r="AF68" s="125">
        <v>16.058900000000001</v>
      </c>
      <c r="AG68" s="568"/>
      <c r="AH68" s="130">
        <f t="shared" si="11"/>
        <v>218.83290000000002</v>
      </c>
      <c r="AI68" s="131">
        <f t="shared" si="12"/>
        <v>147.89190000000002</v>
      </c>
      <c r="AJ68" s="131">
        <f t="shared" si="13"/>
        <v>85.941699999999997</v>
      </c>
      <c r="AK68" s="131">
        <f t="shared" si="14"/>
        <v>86.223800000000011</v>
      </c>
      <c r="AL68" s="131">
        <f t="shared" si="15"/>
        <v>117.88660000000002</v>
      </c>
      <c r="AM68" s="131">
        <f t="shared" si="16"/>
        <v>102.245</v>
      </c>
      <c r="AN68" s="126">
        <f t="shared" si="17"/>
        <v>39.393900000000002</v>
      </c>
      <c r="AO68" s="568"/>
      <c r="AP68" s="568"/>
      <c r="AQ68" s="568"/>
      <c r="AR68" s="568"/>
      <c r="AS68" s="568"/>
      <c r="AT68" s="568"/>
      <c r="AU68" s="568"/>
      <c r="AV68" s="568"/>
      <c r="AW68" s="568"/>
      <c r="AX68" s="568"/>
      <c r="AY68" s="568"/>
      <c r="AZ68" s="568"/>
      <c r="BA68" s="568"/>
      <c r="BB68" s="568"/>
      <c r="BC68" s="568"/>
      <c r="BD68" s="568"/>
      <c r="BE68" s="568"/>
      <c r="BF68" s="568"/>
      <c r="BG68" s="568"/>
      <c r="BH68" s="568"/>
      <c r="BI68" s="568"/>
      <c r="BJ68" s="568"/>
      <c r="BK68" s="568"/>
      <c r="BL68" s="568"/>
      <c r="BM68" s="568"/>
      <c r="BN68" s="568"/>
      <c r="BO68" s="568"/>
      <c r="BP68" s="568"/>
      <c r="BQ68" s="568"/>
      <c r="BR68" s="568"/>
      <c r="BS68" s="568"/>
      <c r="BT68" s="568"/>
      <c r="BU68" s="568"/>
      <c r="BV68" s="568"/>
      <c r="BW68" s="568"/>
      <c r="BX68" s="568"/>
    </row>
    <row r="69" spans="1:76" x14ac:dyDescent="0.25">
      <c r="A69" s="568"/>
      <c r="B69" s="636" t="s">
        <v>247</v>
      </c>
      <c r="C69" s="911" t="s">
        <v>279</v>
      </c>
      <c r="D69" s="912" t="s">
        <v>270</v>
      </c>
      <c r="E69" s="127">
        <v>7261.7037999999993</v>
      </c>
      <c r="F69" s="128">
        <v>7625.1734000000015</v>
      </c>
      <c r="G69" s="128">
        <v>9351.7437000000009</v>
      </c>
      <c r="H69" s="129">
        <v>7416.4831000000004</v>
      </c>
      <c r="I69" s="127">
        <v>6850.3200999999999</v>
      </c>
      <c r="J69" s="128">
        <v>6300.3317000000006</v>
      </c>
      <c r="K69" s="128">
        <v>7614.1597999999994</v>
      </c>
      <c r="L69" s="129">
        <v>8282.9214000000011</v>
      </c>
      <c r="M69" s="127">
        <v>7453.2197999999999</v>
      </c>
      <c r="N69" s="128">
        <v>6619.7975999999999</v>
      </c>
      <c r="O69" s="128">
        <v>7242.6796000000004</v>
      </c>
      <c r="P69" s="129">
        <v>8146.6944000000003</v>
      </c>
      <c r="Q69" s="127">
        <v>7304.5765000000001</v>
      </c>
      <c r="R69" s="128">
        <v>8206.9819000000007</v>
      </c>
      <c r="S69" s="134">
        <v>9239.2157000000007</v>
      </c>
      <c r="T69" s="135">
        <v>10299.528200000001</v>
      </c>
      <c r="U69" s="127">
        <v>8026.5821999999998</v>
      </c>
      <c r="V69" s="128">
        <v>8165.9630000000006</v>
      </c>
      <c r="W69" s="128">
        <v>10797.010900000001</v>
      </c>
      <c r="X69" s="129">
        <v>8950.3817000000017</v>
      </c>
      <c r="Y69" s="127">
        <v>7214.6620000000003</v>
      </c>
      <c r="Z69" s="128">
        <v>7566.4264000000003</v>
      </c>
      <c r="AA69" s="128">
        <v>8437.7306000000008</v>
      </c>
      <c r="AB69" s="129">
        <v>7324.5276000000003</v>
      </c>
      <c r="AC69" s="122">
        <v>6896.9134000000004</v>
      </c>
      <c r="AD69" s="122">
        <v>8405.2188999999998</v>
      </c>
      <c r="AE69" s="122">
        <v>9303.0365999999995</v>
      </c>
      <c r="AF69" s="122">
        <v>8518.4294000000009</v>
      </c>
      <c r="AG69" s="568"/>
      <c r="AH69" s="127">
        <f t="shared" si="11"/>
        <v>31655.104000000003</v>
      </c>
      <c r="AI69" s="128">
        <f t="shared" si="12"/>
        <v>29047.733</v>
      </c>
      <c r="AJ69" s="128">
        <f t="shared" si="13"/>
        <v>29462.3914</v>
      </c>
      <c r="AK69" s="128">
        <f t="shared" si="14"/>
        <v>35050.302300000003</v>
      </c>
      <c r="AL69" s="128">
        <f t="shared" si="15"/>
        <v>35939.9378</v>
      </c>
      <c r="AM69" s="128">
        <f t="shared" si="16"/>
        <v>30543.346600000004</v>
      </c>
      <c r="AN69" s="123">
        <f t="shared" si="17"/>
        <v>33123.598299999998</v>
      </c>
      <c r="AO69" s="568"/>
      <c r="AP69" s="568"/>
      <c r="AQ69" s="568"/>
      <c r="AR69" s="568"/>
      <c r="AS69" s="568"/>
      <c r="AT69" s="568"/>
      <c r="AU69" s="568"/>
      <c r="AV69" s="568"/>
      <c r="AW69" s="568"/>
      <c r="AX69" s="568"/>
      <c r="AY69" s="568"/>
      <c r="AZ69" s="568"/>
      <c r="BA69" s="568"/>
      <c r="BB69" s="568"/>
      <c r="BC69" s="568"/>
      <c r="BD69" s="568"/>
      <c r="BE69" s="568"/>
      <c r="BF69" s="568"/>
      <c r="BG69" s="568"/>
      <c r="BH69" s="568"/>
      <c r="BI69" s="568"/>
      <c r="BJ69" s="568"/>
      <c r="BK69" s="568"/>
      <c r="BL69" s="568"/>
      <c r="BM69" s="568"/>
      <c r="BN69" s="568"/>
      <c r="BO69" s="568"/>
      <c r="BP69" s="568"/>
      <c r="BQ69" s="568"/>
      <c r="BR69" s="568"/>
      <c r="BS69" s="568"/>
      <c r="BT69" s="568"/>
      <c r="BU69" s="568"/>
      <c r="BV69" s="568"/>
      <c r="BW69" s="568"/>
      <c r="BX69" s="568"/>
    </row>
    <row r="70" spans="1:76" x14ac:dyDescent="0.25">
      <c r="A70" s="568"/>
      <c r="B70" s="637" t="s">
        <v>188</v>
      </c>
      <c r="C70" s="913" t="s">
        <v>0</v>
      </c>
      <c r="D70" s="914" t="s">
        <v>269</v>
      </c>
      <c r="E70" s="121">
        <v>566.59720000000004</v>
      </c>
      <c r="F70" s="122">
        <v>522.54150000000004</v>
      </c>
      <c r="G70" s="122">
        <v>794.66010000000006</v>
      </c>
      <c r="H70" s="123">
        <v>596.64280000000008</v>
      </c>
      <c r="I70" s="121">
        <v>508.72769999999997</v>
      </c>
      <c r="J70" s="122">
        <v>1131.2755999999999</v>
      </c>
      <c r="K70" s="122">
        <v>1062.0714</v>
      </c>
      <c r="L70" s="123">
        <v>1107.7079000000001</v>
      </c>
      <c r="M70" s="121">
        <v>893.06359999999995</v>
      </c>
      <c r="N70" s="122">
        <v>684.67619999999999</v>
      </c>
      <c r="O70" s="122">
        <v>1006.6004</v>
      </c>
      <c r="P70" s="123">
        <v>1230.7035000000001</v>
      </c>
      <c r="Q70" s="121">
        <v>1177.8130000000001</v>
      </c>
      <c r="R70" s="122">
        <v>1641.9</v>
      </c>
      <c r="S70" s="136">
        <v>3323.8790000000004</v>
      </c>
      <c r="T70" s="137">
        <v>3937.6610000000001</v>
      </c>
      <c r="U70" s="121">
        <v>2277.1853000000001</v>
      </c>
      <c r="V70" s="122">
        <v>2435.0261</v>
      </c>
      <c r="W70" s="122">
        <v>3795.6165000000001</v>
      </c>
      <c r="X70" s="123">
        <v>2027.0718000000002</v>
      </c>
      <c r="Y70" s="121">
        <v>1966.3995</v>
      </c>
      <c r="Z70" s="122">
        <v>2002.4979000000003</v>
      </c>
      <c r="AA70" s="122">
        <v>3124.2588000000001</v>
      </c>
      <c r="AB70" s="123">
        <v>1851.6381000000001</v>
      </c>
      <c r="AC70" s="122">
        <v>1881.2326</v>
      </c>
      <c r="AD70" s="122">
        <v>2343.7752</v>
      </c>
      <c r="AE70" s="122">
        <v>2473.4619000000002</v>
      </c>
      <c r="AF70" s="122">
        <v>1882.0126</v>
      </c>
      <c r="AG70" s="568"/>
      <c r="AH70" s="121">
        <f t="shared" si="11"/>
        <v>2480.4416000000001</v>
      </c>
      <c r="AI70" s="122">
        <f t="shared" si="12"/>
        <v>3809.7826000000005</v>
      </c>
      <c r="AJ70" s="122">
        <f t="shared" si="13"/>
        <v>3815.0436999999997</v>
      </c>
      <c r="AK70" s="122">
        <f t="shared" si="14"/>
        <v>10081.253000000001</v>
      </c>
      <c r="AL70" s="122">
        <f t="shared" si="15"/>
        <v>10534.8997</v>
      </c>
      <c r="AM70" s="122">
        <f t="shared" si="16"/>
        <v>8944.7943000000014</v>
      </c>
      <c r="AN70" s="123">
        <f t="shared" si="17"/>
        <v>8580.4822999999997</v>
      </c>
      <c r="AO70" s="568"/>
      <c r="AP70" s="568"/>
      <c r="AQ70" s="568"/>
      <c r="AR70" s="568"/>
      <c r="AS70" s="568"/>
      <c r="AT70" s="568"/>
      <c r="AU70" s="568"/>
      <c r="AV70" s="568"/>
      <c r="AW70" s="568"/>
      <c r="AX70" s="568"/>
      <c r="AY70" s="568"/>
      <c r="AZ70" s="568"/>
      <c r="BA70" s="568"/>
      <c r="BB70" s="568"/>
      <c r="BC70" s="568"/>
      <c r="BD70" s="568"/>
      <c r="BE70" s="568"/>
      <c r="BF70" s="568"/>
      <c r="BG70" s="568"/>
      <c r="BH70" s="568"/>
      <c r="BI70" s="568"/>
      <c r="BJ70" s="568"/>
      <c r="BK70" s="568"/>
      <c r="BL70" s="568"/>
      <c r="BM70" s="568"/>
      <c r="BN70" s="568"/>
      <c r="BO70" s="568"/>
      <c r="BP70" s="568"/>
      <c r="BQ70" s="568"/>
      <c r="BR70" s="568"/>
      <c r="BS70" s="568"/>
      <c r="BT70" s="568"/>
      <c r="BU70" s="568"/>
      <c r="BV70" s="568"/>
      <c r="BW70" s="568"/>
      <c r="BX70" s="568"/>
    </row>
    <row r="71" spans="1:76" x14ac:dyDescent="0.25">
      <c r="A71" s="568"/>
      <c r="B71" s="637" t="s">
        <v>189</v>
      </c>
      <c r="C71" s="913" t="s">
        <v>0</v>
      </c>
      <c r="D71" s="914" t="s">
        <v>269</v>
      </c>
      <c r="E71" s="121">
        <v>6695.1066000000001</v>
      </c>
      <c r="F71" s="122">
        <v>7102.6319000000012</v>
      </c>
      <c r="G71" s="122">
        <v>8557.0835999999999</v>
      </c>
      <c r="H71" s="123">
        <v>6819.8402999999998</v>
      </c>
      <c r="I71" s="121">
        <v>6341.5923999999995</v>
      </c>
      <c r="J71" s="122">
        <v>5169.0561000000007</v>
      </c>
      <c r="K71" s="122">
        <v>6552.0883999999996</v>
      </c>
      <c r="L71" s="123">
        <v>7175.2135000000007</v>
      </c>
      <c r="M71" s="121">
        <v>6560.1562000000004</v>
      </c>
      <c r="N71" s="122">
        <v>5935.1214</v>
      </c>
      <c r="O71" s="122">
        <v>6236.0792000000001</v>
      </c>
      <c r="P71" s="123">
        <v>6915.9909000000007</v>
      </c>
      <c r="Q71" s="121">
        <v>6126.7635</v>
      </c>
      <c r="R71" s="122">
        <v>6565.081900000001</v>
      </c>
      <c r="S71" s="136">
        <v>5915.3366999999998</v>
      </c>
      <c r="T71" s="137">
        <v>6361.8672000000006</v>
      </c>
      <c r="U71" s="121">
        <v>5749.3968999999997</v>
      </c>
      <c r="V71" s="122">
        <v>5730.9369000000006</v>
      </c>
      <c r="W71" s="122">
        <v>7001.3943999999992</v>
      </c>
      <c r="X71" s="123">
        <v>6923.3099000000002</v>
      </c>
      <c r="Y71" s="121">
        <v>5248.2624999999998</v>
      </c>
      <c r="Z71" s="122">
        <v>5563.9285</v>
      </c>
      <c r="AA71" s="122">
        <v>5313.4718000000012</v>
      </c>
      <c r="AB71" s="123">
        <v>5472.8895000000002</v>
      </c>
      <c r="AC71" s="122">
        <v>5015.6808000000001</v>
      </c>
      <c r="AD71" s="122">
        <v>6061.4437000000007</v>
      </c>
      <c r="AE71" s="122">
        <v>6829.5747000000001</v>
      </c>
      <c r="AF71" s="122">
        <v>6636.4168</v>
      </c>
      <c r="AG71" s="568"/>
      <c r="AH71" s="121">
        <f t="shared" si="11"/>
        <v>29174.662400000001</v>
      </c>
      <c r="AI71" s="122">
        <f t="shared" si="12"/>
        <v>25237.950400000002</v>
      </c>
      <c r="AJ71" s="122">
        <f t="shared" si="13"/>
        <v>25647.347700000002</v>
      </c>
      <c r="AK71" s="122">
        <f t="shared" si="14"/>
        <v>24969.049300000002</v>
      </c>
      <c r="AL71" s="122">
        <f t="shared" si="15"/>
        <v>25405.038099999998</v>
      </c>
      <c r="AM71" s="122">
        <f t="shared" si="16"/>
        <v>21598.552299999999</v>
      </c>
      <c r="AN71" s="123">
        <f t="shared" si="17"/>
        <v>24543.116000000002</v>
      </c>
      <c r="AO71" s="568"/>
      <c r="AP71" s="568"/>
      <c r="AQ71" s="568"/>
      <c r="AR71" s="568"/>
      <c r="AS71" s="568"/>
      <c r="AT71" s="568"/>
      <c r="AU71" s="568"/>
      <c r="AV71" s="568"/>
      <c r="AW71" s="568"/>
      <c r="AX71" s="568"/>
      <c r="AY71" s="568"/>
      <c r="AZ71" s="568"/>
      <c r="BA71" s="568"/>
      <c r="BB71" s="568"/>
      <c r="BC71" s="568"/>
      <c r="BD71" s="568"/>
      <c r="BE71" s="568"/>
      <c r="BF71" s="568"/>
      <c r="BG71" s="568"/>
      <c r="BH71" s="568"/>
      <c r="BI71" s="568"/>
      <c r="BJ71" s="568"/>
      <c r="BK71" s="568"/>
      <c r="BL71" s="568"/>
      <c r="BM71" s="568"/>
      <c r="BN71" s="568"/>
      <c r="BO71" s="568"/>
      <c r="BP71" s="568"/>
      <c r="BQ71" s="568"/>
      <c r="BR71" s="568"/>
      <c r="BS71" s="568"/>
      <c r="BT71" s="568"/>
      <c r="BU71" s="568"/>
      <c r="BV71" s="568"/>
      <c r="BW71" s="568"/>
      <c r="BX71" s="568"/>
    </row>
    <row r="72" spans="1:76" x14ac:dyDescent="0.25">
      <c r="A72" s="568"/>
      <c r="B72" s="637" t="s">
        <v>195</v>
      </c>
      <c r="C72" s="915" t="s">
        <v>0</v>
      </c>
      <c r="D72" s="916" t="s">
        <v>269</v>
      </c>
      <c r="E72" s="121">
        <v>1208.2148000000002</v>
      </c>
      <c r="F72" s="122">
        <v>1461.4561000000001</v>
      </c>
      <c r="G72" s="122">
        <v>1582.1246999999998</v>
      </c>
      <c r="H72" s="123">
        <v>1226.3953000000001</v>
      </c>
      <c r="I72" s="121">
        <v>1058.4820999999999</v>
      </c>
      <c r="J72" s="122">
        <v>1389.7455</v>
      </c>
      <c r="K72" s="122">
        <v>1163.3245000000002</v>
      </c>
      <c r="L72" s="123">
        <v>2374.0600000000004</v>
      </c>
      <c r="M72" s="121">
        <v>1885.6890000000001</v>
      </c>
      <c r="N72" s="122">
        <v>1242.0824000000002</v>
      </c>
      <c r="O72" s="122">
        <v>1802.0938000000001</v>
      </c>
      <c r="P72" s="123">
        <v>1427.6483000000001</v>
      </c>
      <c r="Q72" s="121">
        <v>1309.4445000000001</v>
      </c>
      <c r="R72" s="122">
        <v>1654.3150000000001</v>
      </c>
      <c r="S72" s="136">
        <v>1873.7550000000001</v>
      </c>
      <c r="T72" s="137">
        <v>1741.7972</v>
      </c>
      <c r="U72" s="121">
        <v>2101.9023999999999</v>
      </c>
      <c r="V72" s="122">
        <v>1800.8289</v>
      </c>
      <c r="W72" s="122">
        <v>4051.0248999999999</v>
      </c>
      <c r="X72" s="123">
        <v>2379.4446000000003</v>
      </c>
      <c r="Y72" s="121">
        <v>2106.9750000000004</v>
      </c>
      <c r="Z72" s="122">
        <v>1416.3669</v>
      </c>
      <c r="AA72" s="122">
        <v>3261.7455</v>
      </c>
      <c r="AB72" s="123">
        <v>2015.5252</v>
      </c>
      <c r="AC72" s="122">
        <v>1894.2573</v>
      </c>
      <c r="AD72" s="122">
        <v>2549.2181</v>
      </c>
      <c r="AE72" s="122">
        <v>3564.6792999999998</v>
      </c>
      <c r="AF72" s="122">
        <v>3105.3256000000001</v>
      </c>
      <c r="AG72" s="568"/>
      <c r="AH72" s="121">
        <f t="shared" si="11"/>
        <v>5478.1908999999996</v>
      </c>
      <c r="AI72" s="122">
        <f t="shared" si="12"/>
        <v>5985.6121000000003</v>
      </c>
      <c r="AJ72" s="122">
        <f t="shared" si="13"/>
        <v>6357.5135</v>
      </c>
      <c r="AK72" s="122">
        <f t="shared" si="14"/>
        <v>6579.3117000000002</v>
      </c>
      <c r="AL72" s="122">
        <f t="shared" si="15"/>
        <v>10333.200800000001</v>
      </c>
      <c r="AM72" s="122">
        <f t="shared" si="16"/>
        <v>8800.6126000000004</v>
      </c>
      <c r="AN72" s="123">
        <f t="shared" si="17"/>
        <v>11113.480299999999</v>
      </c>
      <c r="AO72" s="568"/>
      <c r="AP72" s="568"/>
      <c r="AQ72" s="568"/>
      <c r="AR72" s="568"/>
      <c r="AS72" s="568"/>
      <c r="AT72" s="568"/>
      <c r="AU72" s="568"/>
      <c r="AV72" s="568"/>
      <c r="AW72" s="568"/>
      <c r="AX72" s="568"/>
      <c r="AY72" s="568"/>
      <c r="AZ72" s="568"/>
      <c r="BA72" s="568"/>
      <c r="BB72" s="568"/>
      <c r="BC72" s="568"/>
      <c r="BD72" s="568"/>
      <c r="BE72" s="568"/>
      <c r="BF72" s="568"/>
      <c r="BG72" s="568"/>
      <c r="BH72" s="568"/>
      <c r="BI72" s="568"/>
      <c r="BJ72" s="568"/>
      <c r="BK72" s="568"/>
      <c r="BL72" s="568"/>
      <c r="BM72" s="568"/>
      <c r="BN72" s="568"/>
      <c r="BO72" s="568"/>
      <c r="BP72" s="568"/>
      <c r="BQ72" s="568"/>
      <c r="BR72" s="568"/>
      <c r="BS72" s="568"/>
      <c r="BT72" s="568"/>
      <c r="BU72" s="568"/>
      <c r="BV72" s="568"/>
      <c r="BW72" s="568"/>
      <c r="BX72" s="568"/>
    </row>
    <row r="73" spans="1:76" x14ac:dyDescent="0.25">
      <c r="A73" s="568"/>
      <c r="B73" s="638" t="s">
        <v>247</v>
      </c>
      <c r="C73" s="917" t="s">
        <v>280</v>
      </c>
      <c r="D73" s="918"/>
      <c r="E73" s="124">
        <v>1597.4257000000002</v>
      </c>
      <c r="F73" s="125">
        <v>1813.2607999999998</v>
      </c>
      <c r="G73" s="125">
        <v>1730.2558000000001</v>
      </c>
      <c r="H73" s="126">
        <v>1679.0462</v>
      </c>
      <c r="I73" s="124">
        <v>1379.2714000000001</v>
      </c>
      <c r="J73" s="125">
        <v>1889.5292000000002</v>
      </c>
      <c r="K73" s="125">
        <v>1678.1882000000001</v>
      </c>
      <c r="L73" s="126">
        <v>1664.0584999999999</v>
      </c>
      <c r="M73" s="124">
        <v>2029.3208</v>
      </c>
      <c r="N73" s="125">
        <v>1941.0170000000001</v>
      </c>
      <c r="O73" s="125">
        <v>1864.0205999999998</v>
      </c>
      <c r="P73" s="126">
        <v>1618.8652999999999</v>
      </c>
      <c r="Q73" s="124">
        <v>1415.5440000000001</v>
      </c>
      <c r="R73" s="125">
        <v>2056.1606000000002</v>
      </c>
      <c r="S73" s="138">
        <v>1782.3844999999999</v>
      </c>
      <c r="T73" s="139">
        <v>1728.9025000000001</v>
      </c>
      <c r="U73" s="124">
        <v>1887.6818999999998</v>
      </c>
      <c r="V73" s="125">
        <v>1969.1945000000001</v>
      </c>
      <c r="W73" s="125">
        <v>1707.5318000000002</v>
      </c>
      <c r="X73" s="126">
        <v>2247.0825</v>
      </c>
      <c r="Y73" s="124">
        <v>1762.9728999999998</v>
      </c>
      <c r="Z73" s="125">
        <v>1808.5808000000002</v>
      </c>
      <c r="AA73" s="125">
        <v>1770.0683000000001</v>
      </c>
      <c r="AB73" s="126">
        <v>1727.7923000000001</v>
      </c>
      <c r="AC73" s="125">
        <v>1863.1119000000001</v>
      </c>
      <c r="AD73" s="125">
        <v>1713.4494</v>
      </c>
      <c r="AE73" s="125">
        <v>1889.5162</v>
      </c>
      <c r="AF73" s="125">
        <v>2244.4668999999999</v>
      </c>
      <c r="AG73" s="568"/>
      <c r="AH73" s="124">
        <f t="shared" si="11"/>
        <v>6819.9884999999995</v>
      </c>
      <c r="AI73" s="125">
        <f t="shared" si="12"/>
        <v>6611.0473000000011</v>
      </c>
      <c r="AJ73" s="125">
        <f t="shared" si="13"/>
        <v>7453.2237000000005</v>
      </c>
      <c r="AK73" s="125">
        <f t="shared" si="14"/>
        <v>6982.9916000000003</v>
      </c>
      <c r="AL73" s="125">
        <f t="shared" si="15"/>
        <v>7811.4907000000003</v>
      </c>
      <c r="AM73" s="125">
        <f t="shared" si="16"/>
        <v>7069.4143000000004</v>
      </c>
      <c r="AN73" s="126">
        <f t="shared" si="17"/>
        <v>7710.5444000000007</v>
      </c>
      <c r="AO73" s="568"/>
      <c r="AP73" s="568"/>
      <c r="AQ73" s="568"/>
      <c r="AR73" s="568"/>
      <c r="AS73" s="568"/>
      <c r="AT73" s="568"/>
      <c r="AU73" s="568"/>
      <c r="AV73" s="568"/>
      <c r="AW73" s="568"/>
      <c r="AX73" s="568"/>
      <c r="AY73" s="568"/>
      <c r="AZ73" s="568"/>
      <c r="BA73" s="568"/>
      <c r="BB73" s="568"/>
      <c r="BC73" s="568"/>
      <c r="BD73" s="568"/>
      <c r="BE73" s="568"/>
      <c r="BF73" s="568"/>
      <c r="BG73" s="568"/>
      <c r="BH73" s="568"/>
      <c r="BI73" s="568"/>
      <c r="BJ73" s="568"/>
      <c r="BK73" s="568"/>
      <c r="BL73" s="568"/>
      <c r="BM73" s="568"/>
      <c r="BN73" s="568"/>
      <c r="BO73" s="568"/>
      <c r="BP73" s="568"/>
      <c r="BQ73" s="568"/>
      <c r="BR73" s="568"/>
      <c r="BS73" s="568"/>
      <c r="BT73" s="568"/>
      <c r="BU73" s="568"/>
      <c r="BV73" s="568"/>
      <c r="BW73" s="568"/>
      <c r="BX73" s="568"/>
    </row>
    <row r="74" spans="1:76" x14ac:dyDescent="0.25">
      <c r="A74" s="568"/>
      <c r="B74" s="638" t="s">
        <v>188</v>
      </c>
      <c r="C74" s="919"/>
      <c r="D74" s="920"/>
      <c r="E74" s="124">
        <v>241.04859999999999</v>
      </c>
      <c r="F74" s="125">
        <v>336.9821</v>
      </c>
      <c r="G74" s="125">
        <v>218.00739999999999</v>
      </c>
      <c r="H74" s="126">
        <v>234.44980000000001</v>
      </c>
      <c r="I74" s="124">
        <v>187.82010000000002</v>
      </c>
      <c r="J74" s="125">
        <v>190.31870000000001</v>
      </c>
      <c r="K74" s="125">
        <v>213.93189999999998</v>
      </c>
      <c r="L74" s="126">
        <v>237.8844</v>
      </c>
      <c r="M74" s="124">
        <v>174.12200000000001</v>
      </c>
      <c r="N74" s="125">
        <v>203.14320000000001</v>
      </c>
      <c r="O74" s="125">
        <v>217.92679999999999</v>
      </c>
      <c r="P74" s="126">
        <v>182.04939999999999</v>
      </c>
      <c r="Q74" s="124">
        <v>193.0266</v>
      </c>
      <c r="R74" s="125">
        <v>229.31480000000002</v>
      </c>
      <c r="S74" s="138">
        <v>165.22480000000002</v>
      </c>
      <c r="T74" s="139">
        <v>162.51429999999999</v>
      </c>
      <c r="U74" s="124">
        <v>145.33870000000002</v>
      </c>
      <c r="V74" s="125">
        <v>289.99620000000004</v>
      </c>
      <c r="W74" s="125">
        <v>151.0847</v>
      </c>
      <c r="X74" s="126">
        <v>187.95660000000001</v>
      </c>
      <c r="Y74" s="124">
        <v>80.034499999999994</v>
      </c>
      <c r="Z74" s="125">
        <v>170.99160000000001</v>
      </c>
      <c r="AA74" s="125">
        <v>115.4101</v>
      </c>
      <c r="AB74" s="126">
        <v>158.70269999999999</v>
      </c>
      <c r="AC74" s="125">
        <v>146.50479999999999</v>
      </c>
      <c r="AD74" s="125">
        <v>75.126999999999995</v>
      </c>
      <c r="AE74" s="125">
        <v>115.53619999999999</v>
      </c>
      <c r="AF74" s="125">
        <v>116.62950000000001</v>
      </c>
      <c r="AG74" s="568"/>
      <c r="AH74" s="124">
        <f t="shared" si="11"/>
        <v>1030.4879000000001</v>
      </c>
      <c r="AI74" s="125">
        <f t="shared" si="12"/>
        <v>829.95510000000002</v>
      </c>
      <c r="AJ74" s="125">
        <f t="shared" si="13"/>
        <v>777.2414</v>
      </c>
      <c r="AK74" s="125">
        <f t="shared" si="14"/>
        <v>750.08050000000003</v>
      </c>
      <c r="AL74" s="125">
        <f t="shared" si="15"/>
        <v>774.37620000000004</v>
      </c>
      <c r="AM74" s="125">
        <f t="shared" si="16"/>
        <v>525.13889999999992</v>
      </c>
      <c r="AN74" s="126">
        <f t="shared" si="17"/>
        <v>453.79750000000001</v>
      </c>
      <c r="AO74" s="568"/>
      <c r="AP74" s="568"/>
      <c r="AQ74" s="568"/>
      <c r="AR74" s="568"/>
      <c r="AS74" s="568"/>
      <c r="AT74" s="568"/>
      <c r="AU74" s="568"/>
      <c r="AV74" s="568"/>
      <c r="AW74" s="568"/>
      <c r="AX74" s="568"/>
      <c r="AY74" s="568"/>
      <c r="AZ74" s="568"/>
      <c r="BA74" s="568"/>
      <c r="BB74" s="568"/>
      <c r="BC74" s="568"/>
      <c r="BD74" s="568"/>
      <c r="BE74" s="568"/>
      <c r="BF74" s="568"/>
      <c r="BG74" s="568"/>
      <c r="BH74" s="568"/>
      <c r="BI74" s="568"/>
      <c r="BJ74" s="568"/>
      <c r="BK74" s="568"/>
      <c r="BL74" s="568"/>
      <c r="BM74" s="568"/>
      <c r="BN74" s="568"/>
      <c r="BO74" s="568"/>
      <c r="BP74" s="568"/>
      <c r="BQ74" s="568"/>
      <c r="BR74" s="568"/>
      <c r="BS74" s="568"/>
      <c r="BT74" s="568"/>
      <c r="BU74" s="568"/>
      <c r="BV74" s="568"/>
      <c r="BW74" s="568"/>
      <c r="BX74" s="568"/>
    </row>
    <row r="75" spans="1:76" x14ac:dyDescent="0.25">
      <c r="A75" s="568"/>
      <c r="B75" s="638" t="s">
        <v>189</v>
      </c>
      <c r="C75" s="919"/>
      <c r="D75" s="920"/>
      <c r="E75" s="124">
        <v>1356.3771000000002</v>
      </c>
      <c r="F75" s="125">
        <v>1476.2786999999998</v>
      </c>
      <c r="G75" s="125">
        <v>1512.2484000000002</v>
      </c>
      <c r="H75" s="126">
        <v>1444.5963999999999</v>
      </c>
      <c r="I75" s="124">
        <v>1191.4512999999999</v>
      </c>
      <c r="J75" s="125">
        <v>1699.2105000000001</v>
      </c>
      <c r="K75" s="125">
        <v>1464.2563</v>
      </c>
      <c r="L75" s="126">
        <v>1426.1741</v>
      </c>
      <c r="M75" s="124">
        <v>1855.1987999999999</v>
      </c>
      <c r="N75" s="125">
        <v>1737.8738000000001</v>
      </c>
      <c r="O75" s="125">
        <v>1646.0937999999999</v>
      </c>
      <c r="P75" s="126">
        <v>1436.8159000000001</v>
      </c>
      <c r="Q75" s="124">
        <v>1222.5174000000002</v>
      </c>
      <c r="R75" s="125">
        <v>1826.8458000000001</v>
      </c>
      <c r="S75" s="138">
        <v>1617.1596999999999</v>
      </c>
      <c r="T75" s="139">
        <v>1566.3881999999999</v>
      </c>
      <c r="U75" s="124">
        <v>1742.3431999999998</v>
      </c>
      <c r="V75" s="125">
        <v>1679.1983</v>
      </c>
      <c r="W75" s="125">
        <v>1556.4470999999999</v>
      </c>
      <c r="X75" s="126">
        <v>2059.1259</v>
      </c>
      <c r="Y75" s="124">
        <v>1682.9383999999998</v>
      </c>
      <c r="Z75" s="125">
        <v>1637.5891999999999</v>
      </c>
      <c r="AA75" s="125">
        <v>1654.6582000000001</v>
      </c>
      <c r="AB75" s="126">
        <v>1569.0896</v>
      </c>
      <c r="AC75" s="125">
        <v>1716.6071000000002</v>
      </c>
      <c r="AD75" s="125">
        <v>1638.3224</v>
      </c>
      <c r="AE75" s="125">
        <v>1773.98</v>
      </c>
      <c r="AF75" s="125">
        <v>2127.8373999999999</v>
      </c>
      <c r="AG75" s="568"/>
      <c r="AH75" s="124">
        <f t="shared" si="11"/>
        <v>5789.5005999999994</v>
      </c>
      <c r="AI75" s="125">
        <f t="shared" si="12"/>
        <v>5781.0922</v>
      </c>
      <c r="AJ75" s="125">
        <f t="shared" si="13"/>
        <v>6675.9822999999997</v>
      </c>
      <c r="AK75" s="125">
        <f t="shared" si="14"/>
        <v>6232.9110999999994</v>
      </c>
      <c r="AL75" s="125">
        <f t="shared" si="15"/>
        <v>7037.1144999999997</v>
      </c>
      <c r="AM75" s="125">
        <f t="shared" si="16"/>
        <v>6544.2753999999995</v>
      </c>
      <c r="AN75" s="126">
        <f t="shared" si="17"/>
        <v>7256.7469000000001</v>
      </c>
      <c r="AO75" s="568"/>
      <c r="AP75" s="568"/>
      <c r="AQ75" s="568"/>
      <c r="AR75" s="568"/>
      <c r="AS75" s="568"/>
      <c r="AT75" s="568"/>
      <c r="AU75" s="568"/>
      <c r="AV75" s="568"/>
      <c r="AW75" s="568"/>
      <c r="AX75" s="568"/>
      <c r="AY75" s="568"/>
      <c r="AZ75" s="568"/>
      <c r="BA75" s="568"/>
      <c r="BB75" s="568"/>
      <c r="BC75" s="568"/>
      <c r="BD75" s="568"/>
      <c r="BE75" s="568"/>
      <c r="BF75" s="568"/>
      <c r="BG75" s="568"/>
      <c r="BH75" s="568"/>
      <c r="BI75" s="568"/>
      <c r="BJ75" s="568"/>
      <c r="BK75" s="568"/>
      <c r="BL75" s="568"/>
      <c r="BM75" s="568"/>
      <c r="BN75" s="568"/>
      <c r="BO75" s="568"/>
      <c r="BP75" s="568"/>
      <c r="BQ75" s="568"/>
      <c r="BR75" s="568"/>
      <c r="BS75" s="568"/>
      <c r="BT75" s="568"/>
      <c r="BU75" s="568"/>
      <c r="BV75" s="568"/>
      <c r="BW75" s="568"/>
      <c r="BX75" s="568"/>
    </row>
    <row r="76" spans="1:76" ht="15.75" thickBot="1" x14ac:dyDescent="0.3">
      <c r="A76" s="568"/>
      <c r="B76" s="639" t="s">
        <v>195</v>
      </c>
      <c r="C76" s="921"/>
      <c r="D76" s="922"/>
      <c r="E76" s="130">
        <v>1040.8229000000001</v>
      </c>
      <c r="F76" s="131">
        <v>1432.2593999999999</v>
      </c>
      <c r="G76" s="131">
        <v>1345.7496000000001</v>
      </c>
      <c r="H76" s="132">
        <v>1383.7693999999999</v>
      </c>
      <c r="I76" s="130">
        <v>1031.9491</v>
      </c>
      <c r="J76" s="131">
        <v>1415.5297</v>
      </c>
      <c r="K76" s="131">
        <v>1406.1189999999999</v>
      </c>
      <c r="L76" s="132">
        <v>1333.098</v>
      </c>
      <c r="M76" s="130">
        <v>1677.6733999999999</v>
      </c>
      <c r="N76" s="131">
        <v>1543.3171000000002</v>
      </c>
      <c r="O76" s="131">
        <v>1572.6515999999999</v>
      </c>
      <c r="P76" s="132">
        <v>1232.413</v>
      </c>
      <c r="Q76" s="130">
        <v>990.19569999999999</v>
      </c>
      <c r="R76" s="131">
        <v>1719.7388000000001</v>
      </c>
      <c r="S76" s="140">
        <v>1494.8739</v>
      </c>
      <c r="T76" s="141">
        <v>1358.6248000000001</v>
      </c>
      <c r="U76" s="130">
        <v>1532.9768999999999</v>
      </c>
      <c r="V76" s="131">
        <v>1680.4957000000002</v>
      </c>
      <c r="W76" s="131">
        <v>1387.6902</v>
      </c>
      <c r="X76" s="132">
        <v>1817.7172</v>
      </c>
      <c r="Y76" s="130">
        <v>1447.8411999999998</v>
      </c>
      <c r="Z76" s="131">
        <v>1535.2662</v>
      </c>
      <c r="AA76" s="131">
        <v>1530.0337</v>
      </c>
      <c r="AB76" s="132">
        <v>1484.5805</v>
      </c>
      <c r="AC76" s="125">
        <v>1708.9150000000002</v>
      </c>
      <c r="AD76" s="125">
        <v>1562.5246</v>
      </c>
      <c r="AE76" s="125">
        <v>1494.6984</v>
      </c>
      <c r="AF76" s="125">
        <v>1823.7855999999999</v>
      </c>
      <c r="AG76" s="568"/>
      <c r="AH76" s="130">
        <f t="shared" si="11"/>
        <v>5202.6013000000003</v>
      </c>
      <c r="AI76" s="131">
        <f t="shared" si="12"/>
        <v>5186.6957999999995</v>
      </c>
      <c r="AJ76" s="131">
        <f t="shared" si="13"/>
        <v>6026.0550999999996</v>
      </c>
      <c r="AK76" s="131">
        <f t="shared" si="14"/>
        <v>5563.4331999999995</v>
      </c>
      <c r="AL76" s="131">
        <f t="shared" si="15"/>
        <v>6418.88</v>
      </c>
      <c r="AM76" s="131">
        <f t="shared" si="16"/>
        <v>5997.7215999999999</v>
      </c>
      <c r="AN76" s="126">
        <f t="shared" si="17"/>
        <v>6589.9236000000001</v>
      </c>
      <c r="AO76" s="568"/>
      <c r="AP76" s="568"/>
      <c r="AQ76" s="568"/>
      <c r="AR76" s="568"/>
      <c r="AS76" s="568"/>
      <c r="AT76" s="568"/>
      <c r="AU76" s="568"/>
      <c r="AV76" s="568"/>
      <c r="AW76" s="568"/>
      <c r="AX76" s="568"/>
      <c r="AY76" s="568"/>
      <c r="AZ76" s="568"/>
      <c r="BA76" s="568"/>
      <c r="BB76" s="568"/>
      <c r="BC76" s="568"/>
      <c r="BD76" s="568"/>
      <c r="BE76" s="568"/>
      <c r="BF76" s="568"/>
      <c r="BG76" s="568"/>
      <c r="BH76" s="568"/>
      <c r="BI76" s="568"/>
      <c r="BJ76" s="568"/>
      <c r="BK76" s="568"/>
      <c r="BL76" s="568"/>
      <c r="BM76" s="568"/>
      <c r="BN76" s="568"/>
      <c r="BO76" s="568"/>
      <c r="BP76" s="568"/>
      <c r="BQ76" s="568"/>
      <c r="BR76" s="568"/>
      <c r="BS76" s="568"/>
      <c r="BT76" s="568"/>
      <c r="BU76" s="568"/>
      <c r="BV76" s="568"/>
      <c r="BW76" s="568"/>
      <c r="BX76" s="568"/>
    </row>
    <row r="77" spans="1:76" x14ac:dyDescent="0.25">
      <c r="A77" s="568"/>
      <c r="B77" s="636" t="s">
        <v>247</v>
      </c>
      <c r="C77" s="911" t="s">
        <v>281</v>
      </c>
      <c r="D77" s="912" t="s">
        <v>270</v>
      </c>
      <c r="E77" s="127">
        <v>77496.393000000011</v>
      </c>
      <c r="F77" s="128">
        <v>76867.950900000011</v>
      </c>
      <c r="G77" s="128">
        <v>79887.138500000001</v>
      </c>
      <c r="H77" s="129">
        <v>82543.199700000012</v>
      </c>
      <c r="I77" s="127">
        <v>77868.765000000014</v>
      </c>
      <c r="J77" s="128">
        <v>75931.585600000006</v>
      </c>
      <c r="K77" s="128">
        <v>76225.999200000006</v>
      </c>
      <c r="L77" s="129">
        <v>85659.525899999993</v>
      </c>
      <c r="M77" s="127">
        <v>78432.303299999985</v>
      </c>
      <c r="N77" s="128">
        <v>74202.046100000007</v>
      </c>
      <c r="O77" s="128">
        <v>78520.180699999997</v>
      </c>
      <c r="P77" s="129">
        <v>83985.331299999991</v>
      </c>
      <c r="Q77" s="127">
        <v>75352.371899999998</v>
      </c>
      <c r="R77" s="128">
        <v>76080.959499999997</v>
      </c>
      <c r="S77" s="134">
        <v>78936.474499999997</v>
      </c>
      <c r="T77" s="135">
        <v>85501.676000000007</v>
      </c>
      <c r="U77" s="127">
        <v>77890.853299999988</v>
      </c>
      <c r="V77" s="128">
        <v>78813.363200000007</v>
      </c>
      <c r="W77" s="128">
        <v>81623.647299999997</v>
      </c>
      <c r="X77" s="129">
        <v>85898.477600000013</v>
      </c>
      <c r="Y77" s="127">
        <v>76960.321100000001</v>
      </c>
      <c r="Z77" s="128">
        <v>73740.066400000011</v>
      </c>
      <c r="AA77" s="128">
        <v>74739.148900000015</v>
      </c>
      <c r="AB77" s="129">
        <v>82517.659900000013</v>
      </c>
      <c r="AC77" s="122">
        <v>73969.933700000009</v>
      </c>
      <c r="AD77" s="122">
        <v>67606.604000000007</v>
      </c>
      <c r="AE77" s="122">
        <v>73789.205100000006</v>
      </c>
      <c r="AF77" s="122">
        <v>79024.649600000004</v>
      </c>
      <c r="AG77" s="568"/>
      <c r="AH77" s="127">
        <f t="shared" si="11"/>
        <v>316794.68210000003</v>
      </c>
      <c r="AI77" s="128">
        <f t="shared" si="12"/>
        <v>315685.87570000003</v>
      </c>
      <c r="AJ77" s="128">
        <f t="shared" si="13"/>
        <v>315139.86139999999</v>
      </c>
      <c r="AK77" s="128">
        <f t="shared" si="14"/>
        <v>315871.48190000001</v>
      </c>
      <c r="AL77" s="128">
        <f t="shared" si="15"/>
        <v>324226.34140000003</v>
      </c>
      <c r="AM77" s="128">
        <f t="shared" si="16"/>
        <v>307957.19630000007</v>
      </c>
      <c r="AN77" s="123">
        <f t="shared" si="17"/>
        <v>294390.39240000001</v>
      </c>
      <c r="AO77" s="568"/>
      <c r="AP77" s="568"/>
      <c r="AQ77" s="568"/>
      <c r="AR77" s="568"/>
      <c r="AS77" s="568"/>
      <c r="AT77" s="568"/>
      <c r="AU77" s="568"/>
      <c r="AV77" s="568"/>
      <c r="AW77" s="568"/>
      <c r="AX77" s="568"/>
      <c r="AY77" s="568"/>
      <c r="AZ77" s="568"/>
      <c r="BA77" s="568"/>
      <c r="BB77" s="568"/>
      <c r="BC77" s="568"/>
      <c r="BD77" s="568"/>
      <c r="BE77" s="568"/>
      <c r="BF77" s="568"/>
      <c r="BG77" s="568"/>
      <c r="BH77" s="568"/>
      <c r="BI77" s="568"/>
      <c r="BJ77" s="568"/>
      <c r="BK77" s="568"/>
      <c r="BL77" s="568"/>
      <c r="BM77" s="568"/>
      <c r="BN77" s="568"/>
      <c r="BO77" s="568"/>
      <c r="BP77" s="568"/>
      <c r="BQ77" s="568"/>
      <c r="BR77" s="568"/>
      <c r="BS77" s="568"/>
      <c r="BT77" s="568"/>
      <c r="BU77" s="568"/>
      <c r="BV77" s="568"/>
      <c r="BW77" s="568"/>
      <c r="BX77" s="568"/>
    </row>
    <row r="78" spans="1:76" x14ac:dyDescent="0.25">
      <c r="A78" s="568"/>
      <c r="B78" s="637" t="s">
        <v>188</v>
      </c>
      <c r="C78" s="913" t="s">
        <v>0</v>
      </c>
      <c r="D78" s="914" t="s">
        <v>269</v>
      </c>
      <c r="E78" s="121">
        <v>63181.661400000005</v>
      </c>
      <c r="F78" s="122">
        <v>61864.699000000001</v>
      </c>
      <c r="G78" s="122">
        <v>63032.495499999997</v>
      </c>
      <c r="H78" s="123">
        <v>67327.310700000002</v>
      </c>
      <c r="I78" s="121">
        <v>63198.707000000002</v>
      </c>
      <c r="J78" s="122">
        <v>62827.219000000005</v>
      </c>
      <c r="K78" s="122">
        <v>61277.842600000004</v>
      </c>
      <c r="L78" s="123">
        <v>69847.839099999997</v>
      </c>
      <c r="M78" s="121">
        <v>62921.692599999995</v>
      </c>
      <c r="N78" s="122">
        <v>59569.511299999998</v>
      </c>
      <c r="O78" s="122">
        <v>63104.739100000006</v>
      </c>
      <c r="P78" s="123">
        <v>66875.7258</v>
      </c>
      <c r="Q78" s="121">
        <v>60213.900499999996</v>
      </c>
      <c r="R78" s="122">
        <v>60240.608999999997</v>
      </c>
      <c r="S78" s="136">
        <v>64083.736599999997</v>
      </c>
      <c r="T78" s="137">
        <v>69419.0861</v>
      </c>
      <c r="U78" s="121">
        <v>62748.8056</v>
      </c>
      <c r="V78" s="122">
        <v>63329.229600000006</v>
      </c>
      <c r="W78" s="122">
        <v>65554.544899999994</v>
      </c>
      <c r="X78" s="123">
        <v>70018.63960000001</v>
      </c>
      <c r="Y78" s="121">
        <v>63042.772000000004</v>
      </c>
      <c r="Z78" s="122">
        <v>59573.757100000003</v>
      </c>
      <c r="AA78" s="122">
        <v>61189.571300000003</v>
      </c>
      <c r="AB78" s="123">
        <v>67835.515800000008</v>
      </c>
      <c r="AC78" s="122">
        <v>61501.624600000003</v>
      </c>
      <c r="AD78" s="122">
        <v>54487.222399999999</v>
      </c>
      <c r="AE78" s="122">
        <v>58996.090400000001</v>
      </c>
      <c r="AF78" s="122">
        <v>64932.618399999999</v>
      </c>
      <c r="AG78" s="568"/>
      <c r="AH78" s="121">
        <f t="shared" si="11"/>
        <v>255406.1666</v>
      </c>
      <c r="AI78" s="122">
        <f t="shared" si="12"/>
        <v>257151.60769999999</v>
      </c>
      <c r="AJ78" s="122">
        <f t="shared" si="13"/>
        <v>252471.66879999998</v>
      </c>
      <c r="AK78" s="122">
        <f t="shared" si="14"/>
        <v>253957.3322</v>
      </c>
      <c r="AL78" s="122">
        <f t="shared" si="15"/>
        <v>261651.21970000002</v>
      </c>
      <c r="AM78" s="122">
        <f t="shared" si="16"/>
        <v>251641.61620000005</v>
      </c>
      <c r="AN78" s="123">
        <f t="shared" si="17"/>
        <v>239917.5558</v>
      </c>
      <c r="AO78" s="568"/>
      <c r="AP78" s="568"/>
      <c r="AQ78" s="568"/>
      <c r="AR78" s="568"/>
      <c r="AS78" s="568"/>
      <c r="AT78" s="568"/>
      <c r="AU78" s="568"/>
      <c r="AV78" s="568"/>
      <c r="AW78" s="568"/>
      <c r="AX78" s="568"/>
      <c r="AY78" s="568"/>
      <c r="AZ78" s="568"/>
      <c r="BA78" s="568"/>
      <c r="BB78" s="568"/>
      <c r="BC78" s="568"/>
      <c r="BD78" s="568"/>
      <c r="BE78" s="568"/>
      <c r="BF78" s="568"/>
      <c r="BG78" s="568"/>
      <c r="BH78" s="568"/>
      <c r="BI78" s="568"/>
      <c r="BJ78" s="568"/>
      <c r="BK78" s="568"/>
      <c r="BL78" s="568"/>
      <c r="BM78" s="568"/>
      <c r="BN78" s="568"/>
      <c r="BO78" s="568"/>
      <c r="BP78" s="568"/>
      <c r="BQ78" s="568"/>
      <c r="BR78" s="568"/>
      <c r="BS78" s="568"/>
      <c r="BT78" s="568"/>
      <c r="BU78" s="568"/>
      <c r="BV78" s="568"/>
      <c r="BW78" s="568"/>
      <c r="BX78" s="568"/>
    </row>
    <row r="79" spans="1:76" x14ac:dyDescent="0.25">
      <c r="A79" s="568"/>
      <c r="B79" s="637" t="s">
        <v>189</v>
      </c>
      <c r="C79" s="913" t="s">
        <v>0</v>
      </c>
      <c r="D79" s="914" t="s">
        <v>269</v>
      </c>
      <c r="E79" s="121">
        <v>14314.731599999999</v>
      </c>
      <c r="F79" s="122">
        <v>15003.251900000001</v>
      </c>
      <c r="G79" s="122">
        <v>16854.643000000004</v>
      </c>
      <c r="H79" s="123">
        <v>15215.888999999999</v>
      </c>
      <c r="I79" s="121">
        <v>14670.058000000001</v>
      </c>
      <c r="J79" s="122">
        <v>13104.366600000001</v>
      </c>
      <c r="K79" s="122">
        <v>14948.156599999998</v>
      </c>
      <c r="L79" s="123">
        <v>15811.686799999999</v>
      </c>
      <c r="M79" s="121">
        <v>15510.610700000001</v>
      </c>
      <c r="N79" s="122">
        <v>14632.534800000001</v>
      </c>
      <c r="O79" s="122">
        <v>15415.4416</v>
      </c>
      <c r="P79" s="123">
        <v>17109.605500000001</v>
      </c>
      <c r="Q79" s="121">
        <v>15138.4714</v>
      </c>
      <c r="R79" s="122">
        <v>15840.3505</v>
      </c>
      <c r="S79" s="136">
        <v>14852.737900000002</v>
      </c>
      <c r="T79" s="137">
        <v>16082.589899999999</v>
      </c>
      <c r="U79" s="121">
        <v>15142.047699999999</v>
      </c>
      <c r="V79" s="122">
        <v>15484.133600000001</v>
      </c>
      <c r="W79" s="122">
        <v>16069.1024</v>
      </c>
      <c r="X79" s="123">
        <v>15879.838</v>
      </c>
      <c r="Y79" s="121">
        <v>13917.5491</v>
      </c>
      <c r="Z79" s="122">
        <v>14166.309300000001</v>
      </c>
      <c r="AA79" s="122">
        <v>13549.577600000001</v>
      </c>
      <c r="AB79" s="123">
        <v>14682.1441</v>
      </c>
      <c r="AC79" s="122">
        <v>12468.309100000002</v>
      </c>
      <c r="AD79" s="122">
        <v>13119.381600000001</v>
      </c>
      <c r="AE79" s="122">
        <v>14793.114700000002</v>
      </c>
      <c r="AF79" s="122">
        <v>14092.031200000001</v>
      </c>
      <c r="AG79" s="568"/>
      <c r="AH79" s="121">
        <f t="shared" si="11"/>
        <v>61388.515500000009</v>
      </c>
      <c r="AI79" s="122">
        <f t="shared" si="12"/>
        <v>58534.267999999996</v>
      </c>
      <c r="AJ79" s="122">
        <f t="shared" si="13"/>
        <v>62668.192600000009</v>
      </c>
      <c r="AK79" s="122">
        <f t="shared" si="14"/>
        <v>61914.149700000002</v>
      </c>
      <c r="AL79" s="122">
        <f t="shared" si="15"/>
        <v>62575.121700000003</v>
      </c>
      <c r="AM79" s="122">
        <f t="shared" si="16"/>
        <v>56315.580099999999</v>
      </c>
      <c r="AN79" s="123">
        <f t="shared" si="17"/>
        <v>54472.83660000001</v>
      </c>
      <c r="AO79" s="568"/>
      <c r="AP79" s="568"/>
      <c r="AQ79" s="568"/>
      <c r="AR79" s="568"/>
      <c r="AS79" s="568"/>
      <c r="AT79" s="568"/>
      <c r="AU79" s="568"/>
      <c r="AV79" s="568"/>
      <c r="AW79" s="568"/>
      <c r="AX79" s="568"/>
      <c r="AY79" s="568"/>
      <c r="AZ79" s="568"/>
      <c r="BA79" s="568"/>
      <c r="BB79" s="568"/>
      <c r="BC79" s="568"/>
      <c r="BD79" s="568"/>
      <c r="BE79" s="568"/>
      <c r="BF79" s="568"/>
      <c r="BG79" s="568"/>
      <c r="BH79" s="568"/>
      <c r="BI79" s="568"/>
      <c r="BJ79" s="568"/>
      <c r="BK79" s="568"/>
      <c r="BL79" s="568"/>
      <c r="BM79" s="568"/>
      <c r="BN79" s="568"/>
      <c r="BO79" s="568"/>
      <c r="BP79" s="568"/>
      <c r="BQ79" s="568"/>
      <c r="BR79" s="568"/>
      <c r="BS79" s="568"/>
      <c r="BT79" s="568"/>
      <c r="BU79" s="568"/>
      <c r="BV79" s="568"/>
      <c r="BW79" s="568"/>
      <c r="BX79" s="568"/>
    </row>
    <row r="80" spans="1:76" x14ac:dyDescent="0.25">
      <c r="A80" s="568"/>
      <c r="B80" s="637" t="s">
        <v>195</v>
      </c>
      <c r="C80" s="915" t="s">
        <v>0</v>
      </c>
      <c r="D80" s="916" t="s">
        <v>269</v>
      </c>
      <c r="E80" s="121">
        <v>10267.406500000001</v>
      </c>
      <c r="F80" s="122">
        <v>10922.3426</v>
      </c>
      <c r="G80" s="122">
        <v>11021.583300000002</v>
      </c>
      <c r="H80" s="123">
        <v>12707.0762</v>
      </c>
      <c r="I80" s="121">
        <v>12593.7734</v>
      </c>
      <c r="J80" s="122">
        <v>11519.2948</v>
      </c>
      <c r="K80" s="122">
        <v>11671.9161</v>
      </c>
      <c r="L80" s="123">
        <v>14998.018100000001</v>
      </c>
      <c r="M80" s="121">
        <v>13458.3657</v>
      </c>
      <c r="N80" s="122">
        <v>11962.9211</v>
      </c>
      <c r="O80" s="122">
        <v>13404.587299999999</v>
      </c>
      <c r="P80" s="123">
        <v>14932.275800000001</v>
      </c>
      <c r="Q80" s="121">
        <v>12914.9215</v>
      </c>
      <c r="R80" s="122">
        <v>13674.3009</v>
      </c>
      <c r="S80" s="136">
        <v>13384.805200000001</v>
      </c>
      <c r="T80" s="137">
        <v>14899.262300000002</v>
      </c>
      <c r="U80" s="121">
        <v>14050.688599999999</v>
      </c>
      <c r="V80" s="122">
        <v>13693.648799999999</v>
      </c>
      <c r="W80" s="122">
        <v>15595.443499999999</v>
      </c>
      <c r="X80" s="123">
        <v>15185.5288</v>
      </c>
      <c r="Y80" s="121">
        <v>12807.165800000001</v>
      </c>
      <c r="Z80" s="122">
        <v>11426.9779</v>
      </c>
      <c r="AA80" s="122">
        <v>14017.950700000001</v>
      </c>
      <c r="AB80" s="123">
        <v>15624.5128</v>
      </c>
      <c r="AC80" s="122">
        <v>12936.795300000002</v>
      </c>
      <c r="AD80" s="122">
        <v>11741.134600000001</v>
      </c>
      <c r="AE80" s="122">
        <v>13907.9395</v>
      </c>
      <c r="AF80" s="122">
        <v>16001.072100000001</v>
      </c>
      <c r="AG80" s="568"/>
      <c r="AH80" s="121">
        <f t="shared" si="11"/>
        <v>44918.408600000002</v>
      </c>
      <c r="AI80" s="122">
        <f t="shared" si="12"/>
        <v>50783.002400000005</v>
      </c>
      <c r="AJ80" s="122">
        <f t="shared" si="13"/>
        <v>53758.149900000004</v>
      </c>
      <c r="AK80" s="122">
        <f t="shared" si="14"/>
        <v>54873.289900000003</v>
      </c>
      <c r="AL80" s="122">
        <f t="shared" si="15"/>
        <v>58525.309699999998</v>
      </c>
      <c r="AM80" s="122">
        <f t="shared" si="16"/>
        <v>53876.607199999999</v>
      </c>
      <c r="AN80" s="123">
        <f t="shared" si="17"/>
        <v>54586.941500000001</v>
      </c>
      <c r="AO80" s="568"/>
      <c r="AP80" s="568"/>
      <c r="AQ80" s="568"/>
      <c r="AR80" s="568"/>
      <c r="AS80" s="568"/>
      <c r="AT80" s="568"/>
      <c r="AU80" s="568"/>
      <c r="AV80" s="568"/>
      <c r="AW80" s="568"/>
      <c r="AX80" s="568"/>
      <c r="AY80" s="568"/>
      <c r="AZ80" s="568"/>
      <c r="BA80" s="568"/>
      <c r="BB80" s="568"/>
      <c r="BC80" s="568"/>
      <c r="BD80" s="568"/>
      <c r="BE80" s="568"/>
      <c r="BF80" s="568"/>
      <c r="BG80" s="568"/>
      <c r="BH80" s="568"/>
      <c r="BI80" s="568"/>
      <c r="BJ80" s="568"/>
      <c r="BK80" s="568"/>
      <c r="BL80" s="568"/>
      <c r="BM80" s="568"/>
      <c r="BN80" s="568"/>
      <c r="BO80" s="568"/>
      <c r="BP80" s="568"/>
      <c r="BQ80" s="568"/>
      <c r="BR80" s="568"/>
      <c r="BS80" s="568"/>
      <c r="BT80" s="568"/>
      <c r="BU80" s="568"/>
      <c r="BV80" s="568"/>
      <c r="BW80" s="568"/>
      <c r="BX80" s="568"/>
    </row>
    <row r="81" spans="1:76" x14ac:dyDescent="0.25">
      <c r="A81" s="568"/>
      <c r="B81" s="638" t="s">
        <v>247</v>
      </c>
      <c r="C81" s="917" t="s">
        <v>282</v>
      </c>
      <c r="D81" s="918"/>
      <c r="E81" s="124">
        <v>110160.24630000001</v>
      </c>
      <c r="F81" s="125">
        <v>104235.8603</v>
      </c>
      <c r="G81" s="125">
        <v>98663.012499999997</v>
      </c>
      <c r="H81" s="126">
        <v>102455.30750000001</v>
      </c>
      <c r="I81" s="124">
        <v>102648.74100000002</v>
      </c>
      <c r="J81" s="125">
        <v>100698.97110000001</v>
      </c>
      <c r="K81" s="125">
        <v>90181.140400000004</v>
      </c>
      <c r="L81" s="126">
        <v>93918.480500000005</v>
      </c>
      <c r="M81" s="124">
        <v>93558.415600000008</v>
      </c>
      <c r="N81" s="125">
        <v>91679.437200000015</v>
      </c>
      <c r="O81" s="125">
        <v>88666.957599999994</v>
      </c>
      <c r="P81" s="126">
        <v>89627.337799999994</v>
      </c>
      <c r="Q81" s="124">
        <v>90503.173800000004</v>
      </c>
      <c r="R81" s="125">
        <v>89633.713000000003</v>
      </c>
      <c r="S81" s="138">
        <v>86995.075699999987</v>
      </c>
      <c r="T81" s="139">
        <v>94710.960500000001</v>
      </c>
      <c r="U81" s="124">
        <v>93724.122700000007</v>
      </c>
      <c r="V81" s="125">
        <v>89616.723300000012</v>
      </c>
      <c r="W81" s="125">
        <v>88960.717300000004</v>
      </c>
      <c r="X81" s="126">
        <v>94605.280900000012</v>
      </c>
      <c r="Y81" s="124">
        <v>96565.946100000016</v>
      </c>
      <c r="Z81" s="125">
        <v>91790.277799999996</v>
      </c>
      <c r="AA81" s="125">
        <v>88476.3802</v>
      </c>
      <c r="AB81" s="126">
        <v>92528.781799999997</v>
      </c>
      <c r="AC81" s="125">
        <v>82591.888600000006</v>
      </c>
      <c r="AD81" s="125">
        <v>63074.126700000001</v>
      </c>
      <c r="AE81" s="125">
        <v>85892.40400000001</v>
      </c>
      <c r="AF81" s="125">
        <v>74239.188399999999</v>
      </c>
      <c r="AG81" s="568"/>
      <c r="AH81" s="124">
        <f t="shared" si="11"/>
        <v>415514.42660000001</v>
      </c>
      <c r="AI81" s="125">
        <f t="shared" si="12"/>
        <v>387447.33300000004</v>
      </c>
      <c r="AJ81" s="125">
        <f t="shared" si="13"/>
        <v>363532.1482</v>
      </c>
      <c r="AK81" s="125">
        <f t="shared" si="14"/>
        <v>361842.92300000001</v>
      </c>
      <c r="AL81" s="125">
        <f t="shared" si="15"/>
        <v>366906.84420000005</v>
      </c>
      <c r="AM81" s="125">
        <f t="shared" si="16"/>
        <v>369361.38589999999</v>
      </c>
      <c r="AN81" s="126">
        <f t="shared" si="17"/>
        <v>305797.60769999999</v>
      </c>
      <c r="AO81" s="568"/>
      <c r="AP81" s="568"/>
      <c r="AQ81" s="568"/>
      <c r="AR81" s="568"/>
      <c r="AS81" s="568"/>
      <c r="AT81" s="568"/>
      <c r="AU81" s="568"/>
      <c r="AV81" s="568"/>
      <c r="AW81" s="568"/>
      <c r="AX81" s="568"/>
      <c r="AY81" s="568"/>
      <c r="AZ81" s="568"/>
      <c r="BA81" s="568"/>
      <c r="BB81" s="568"/>
      <c r="BC81" s="568"/>
      <c r="BD81" s="568"/>
      <c r="BE81" s="568"/>
      <c r="BF81" s="568"/>
      <c r="BG81" s="568"/>
      <c r="BH81" s="568"/>
      <c r="BI81" s="568"/>
      <c r="BJ81" s="568"/>
      <c r="BK81" s="568"/>
      <c r="BL81" s="568"/>
      <c r="BM81" s="568"/>
      <c r="BN81" s="568"/>
      <c r="BO81" s="568"/>
      <c r="BP81" s="568"/>
      <c r="BQ81" s="568"/>
      <c r="BR81" s="568"/>
      <c r="BS81" s="568"/>
      <c r="BT81" s="568"/>
      <c r="BU81" s="568"/>
      <c r="BV81" s="568"/>
      <c r="BW81" s="568"/>
      <c r="BX81" s="568"/>
    </row>
    <row r="82" spans="1:76" x14ac:dyDescent="0.25">
      <c r="A82" s="568"/>
      <c r="B82" s="638" t="s">
        <v>188</v>
      </c>
      <c r="C82" s="919"/>
      <c r="D82" s="920"/>
      <c r="E82" s="124">
        <v>83013.840000000011</v>
      </c>
      <c r="F82" s="125">
        <v>79489.931299999997</v>
      </c>
      <c r="G82" s="125">
        <v>74608.3</v>
      </c>
      <c r="H82" s="126">
        <v>76591.444799999997</v>
      </c>
      <c r="I82" s="124">
        <v>75485.798700000014</v>
      </c>
      <c r="J82" s="125">
        <v>74399.305500000002</v>
      </c>
      <c r="K82" s="125">
        <v>66225.679000000004</v>
      </c>
      <c r="L82" s="126">
        <v>67900.535300000003</v>
      </c>
      <c r="M82" s="124">
        <v>66724.789300000004</v>
      </c>
      <c r="N82" s="125">
        <v>65943.400900000008</v>
      </c>
      <c r="O82" s="125">
        <v>63391.742700000003</v>
      </c>
      <c r="P82" s="126">
        <v>64185.183399999994</v>
      </c>
      <c r="Q82" s="124">
        <v>64249.985799999995</v>
      </c>
      <c r="R82" s="125">
        <v>63999.803400000004</v>
      </c>
      <c r="S82" s="138">
        <v>60182.574399999998</v>
      </c>
      <c r="T82" s="139">
        <v>65446.862000000001</v>
      </c>
      <c r="U82" s="124">
        <v>63367.621200000009</v>
      </c>
      <c r="V82" s="125">
        <v>62765.990300000005</v>
      </c>
      <c r="W82" s="125">
        <v>62604.128599999996</v>
      </c>
      <c r="X82" s="126">
        <v>65518.012300000002</v>
      </c>
      <c r="Y82" s="124">
        <v>66316.695900000006</v>
      </c>
      <c r="Z82" s="125">
        <v>65354.889600000002</v>
      </c>
      <c r="AA82" s="125">
        <v>64195.289600000004</v>
      </c>
      <c r="AB82" s="126">
        <v>67215.621199999994</v>
      </c>
      <c r="AC82" s="125">
        <v>56246.399300000005</v>
      </c>
      <c r="AD82" s="125">
        <v>45276.082800000004</v>
      </c>
      <c r="AE82" s="125">
        <v>61341.954700000002</v>
      </c>
      <c r="AF82" s="125">
        <v>49975.593200000003</v>
      </c>
      <c r="AG82" s="568"/>
      <c r="AH82" s="124">
        <f t="shared" si="11"/>
        <v>313703.51610000001</v>
      </c>
      <c r="AI82" s="125">
        <f t="shared" si="12"/>
        <v>284011.31849999999</v>
      </c>
      <c r="AJ82" s="125">
        <f t="shared" si="13"/>
        <v>260245.11629999999</v>
      </c>
      <c r="AK82" s="125">
        <f t="shared" si="14"/>
        <v>253879.22559999998</v>
      </c>
      <c r="AL82" s="125">
        <f t="shared" si="15"/>
        <v>254255.7524</v>
      </c>
      <c r="AM82" s="125">
        <f t="shared" si="16"/>
        <v>263082.4963</v>
      </c>
      <c r="AN82" s="126">
        <f t="shared" si="17"/>
        <v>212840.03000000003</v>
      </c>
      <c r="AO82" s="568"/>
      <c r="AP82" s="568"/>
      <c r="AQ82" s="568"/>
      <c r="AR82" s="568"/>
      <c r="AS82" s="568"/>
      <c r="AT82" s="568"/>
      <c r="AU82" s="568"/>
      <c r="AV82" s="568"/>
      <c r="AW82" s="568"/>
      <c r="AX82" s="568"/>
      <c r="AY82" s="568"/>
      <c r="AZ82" s="568"/>
      <c r="BA82" s="568"/>
      <c r="BB82" s="568"/>
      <c r="BC82" s="568"/>
      <c r="BD82" s="568"/>
      <c r="BE82" s="568"/>
      <c r="BF82" s="568"/>
      <c r="BG82" s="568"/>
      <c r="BH82" s="568"/>
      <c r="BI82" s="568"/>
      <c r="BJ82" s="568"/>
      <c r="BK82" s="568"/>
      <c r="BL82" s="568"/>
      <c r="BM82" s="568"/>
      <c r="BN82" s="568"/>
      <c r="BO82" s="568"/>
      <c r="BP82" s="568"/>
      <c r="BQ82" s="568"/>
      <c r="BR82" s="568"/>
      <c r="BS82" s="568"/>
      <c r="BT82" s="568"/>
      <c r="BU82" s="568"/>
      <c r="BV82" s="568"/>
      <c r="BW82" s="568"/>
      <c r="BX82" s="568"/>
    </row>
    <row r="83" spans="1:76" x14ac:dyDescent="0.25">
      <c r="A83" s="568"/>
      <c r="B83" s="638" t="s">
        <v>189</v>
      </c>
      <c r="C83" s="919"/>
      <c r="D83" s="920"/>
      <c r="E83" s="124">
        <v>27146.406300000002</v>
      </c>
      <c r="F83" s="125">
        <v>24745.929</v>
      </c>
      <c r="G83" s="125">
        <v>24054.712499999998</v>
      </c>
      <c r="H83" s="126">
        <v>25863.862700000005</v>
      </c>
      <c r="I83" s="124">
        <v>27162.942300000002</v>
      </c>
      <c r="J83" s="125">
        <v>26299.6656</v>
      </c>
      <c r="K83" s="125">
        <v>23955.4614</v>
      </c>
      <c r="L83" s="126">
        <v>26017.945199999998</v>
      </c>
      <c r="M83" s="124">
        <v>26833.6263</v>
      </c>
      <c r="N83" s="125">
        <v>25736.0363</v>
      </c>
      <c r="O83" s="125">
        <v>25275.214899999999</v>
      </c>
      <c r="P83" s="126">
        <v>25442.154399999999</v>
      </c>
      <c r="Q83" s="124">
        <v>26253.188000000002</v>
      </c>
      <c r="R83" s="125">
        <v>25633.909600000003</v>
      </c>
      <c r="S83" s="138">
        <v>26812.501300000004</v>
      </c>
      <c r="T83" s="139">
        <v>29264.0985</v>
      </c>
      <c r="U83" s="124">
        <v>30356.501500000002</v>
      </c>
      <c r="V83" s="125">
        <v>26850.733000000004</v>
      </c>
      <c r="W83" s="125">
        <v>26356.5887</v>
      </c>
      <c r="X83" s="126">
        <v>29087.268600000003</v>
      </c>
      <c r="Y83" s="124">
        <v>30249.250200000002</v>
      </c>
      <c r="Z83" s="125">
        <v>26435.388200000001</v>
      </c>
      <c r="AA83" s="125">
        <v>24281.090600000003</v>
      </c>
      <c r="AB83" s="126">
        <v>25313.160599999999</v>
      </c>
      <c r="AC83" s="125">
        <v>26345.489300000001</v>
      </c>
      <c r="AD83" s="125">
        <v>17798.043900000001</v>
      </c>
      <c r="AE83" s="125">
        <v>24550.4493</v>
      </c>
      <c r="AF83" s="125">
        <v>24263.5952</v>
      </c>
      <c r="AG83" s="568"/>
      <c r="AH83" s="124">
        <f t="shared" si="11"/>
        <v>101810.9105</v>
      </c>
      <c r="AI83" s="125">
        <f t="shared" si="12"/>
        <v>103436.0145</v>
      </c>
      <c r="AJ83" s="125">
        <f t="shared" si="13"/>
        <v>103287.0319</v>
      </c>
      <c r="AK83" s="125">
        <f t="shared" si="14"/>
        <v>107963.6974</v>
      </c>
      <c r="AL83" s="125">
        <f t="shared" si="15"/>
        <v>112651.09180000002</v>
      </c>
      <c r="AM83" s="125">
        <f t="shared" si="16"/>
        <v>106278.88960000001</v>
      </c>
      <c r="AN83" s="126">
        <f t="shared" si="17"/>
        <v>92957.577700000009</v>
      </c>
      <c r="AO83" s="568"/>
      <c r="AP83" s="568"/>
      <c r="AQ83" s="568"/>
      <c r="AR83" s="568"/>
      <c r="AS83" s="568"/>
      <c r="AT83" s="568"/>
      <c r="AU83" s="568"/>
      <c r="AV83" s="568"/>
      <c r="AW83" s="568"/>
      <c r="AX83" s="568"/>
      <c r="AY83" s="568"/>
      <c r="AZ83" s="568"/>
      <c r="BA83" s="568"/>
      <c r="BB83" s="568"/>
      <c r="BC83" s="568"/>
      <c r="BD83" s="568"/>
      <c r="BE83" s="568"/>
      <c r="BF83" s="568"/>
      <c r="BG83" s="568"/>
      <c r="BH83" s="568"/>
      <c r="BI83" s="568"/>
      <c r="BJ83" s="568"/>
      <c r="BK83" s="568"/>
      <c r="BL83" s="568"/>
      <c r="BM83" s="568"/>
      <c r="BN83" s="568"/>
      <c r="BO83" s="568"/>
      <c r="BP83" s="568"/>
      <c r="BQ83" s="568"/>
      <c r="BR83" s="568"/>
      <c r="BS83" s="568"/>
      <c r="BT83" s="568"/>
      <c r="BU83" s="568"/>
      <c r="BV83" s="568"/>
      <c r="BW83" s="568"/>
      <c r="BX83" s="568"/>
    </row>
    <row r="84" spans="1:76" ht="15.75" thickBot="1" x14ac:dyDescent="0.3">
      <c r="A84" s="568"/>
      <c r="B84" s="639" t="s">
        <v>195</v>
      </c>
      <c r="C84" s="921"/>
      <c r="D84" s="922"/>
      <c r="E84" s="130">
        <v>60926.09120000001</v>
      </c>
      <c r="F84" s="131">
        <v>60839.790699999998</v>
      </c>
      <c r="G84" s="131">
        <v>58601.255700000002</v>
      </c>
      <c r="H84" s="132">
        <v>61335.9617</v>
      </c>
      <c r="I84" s="130">
        <v>61121.638500000001</v>
      </c>
      <c r="J84" s="131">
        <v>61340.496100000004</v>
      </c>
      <c r="K84" s="131">
        <v>57107.183900000004</v>
      </c>
      <c r="L84" s="132">
        <v>60300.407700000003</v>
      </c>
      <c r="M84" s="130">
        <v>59018.202099999995</v>
      </c>
      <c r="N84" s="131">
        <v>57330.559000000008</v>
      </c>
      <c r="O84" s="131">
        <v>56951.207300000002</v>
      </c>
      <c r="P84" s="132">
        <v>55537.657500000001</v>
      </c>
      <c r="Q84" s="130">
        <v>57008.499599999996</v>
      </c>
      <c r="R84" s="131">
        <v>56794.292100000006</v>
      </c>
      <c r="S84" s="140">
        <v>57195.522799999999</v>
      </c>
      <c r="T84" s="141">
        <v>61049.281800000004</v>
      </c>
      <c r="U84" s="130">
        <v>61375.003300000004</v>
      </c>
      <c r="V84" s="131">
        <v>57917.401100000003</v>
      </c>
      <c r="W84" s="131">
        <v>58546.126600000003</v>
      </c>
      <c r="X84" s="132">
        <v>61101.9643</v>
      </c>
      <c r="Y84" s="130">
        <v>63442.459600000002</v>
      </c>
      <c r="Z84" s="131">
        <v>59309.1538</v>
      </c>
      <c r="AA84" s="131">
        <v>58126.092700000001</v>
      </c>
      <c r="AB84" s="132">
        <v>59550.8511</v>
      </c>
      <c r="AC84" s="125">
        <v>54326.8557</v>
      </c>
      <c r="AD84" s="125">
        <v>38227.030399999996</v>
      </c>
      <c r="AE84" s="125">
        <v>57241.081299999998</v>
      </c>
      <c r="AF84" s="125">
        <v>45674.532800000001</v>
      </c>
      <c r="AG84" s="568"/>
      <c r="AH84" s="130">
        <f t="shared" si="11"/>
        <v>241703.0993</v>
      </c>
      <c r="AI84" s="131">
        <f t="shared" si="12"/>
        <v>239869.7262</v>
      </c>
      <c r="AJ84" s="131">
        <f t="shared" si="13"/>
        <v>228837.62590000001</v>
      </c>
      <c r="AK84" s="131">
        <f t="shared" si="14"/>
        <v>232047.5963</v>
      </c>
      <c r="AL84" s="131">
        <f t="shared" si="15"/>
        <v>238940.49530000001</v>
      </c>
      <c r="AM84" s="131">
        <f t="shared" si="16"/>
        <v>240428.55720000001</v>
      </c>
      <c r="AN84" s="126">
        <f t="shared" si="17"/>
        <v>195469.50020000001</v>
      </c>
      <c r="AO84" s="568"/>
      <c r="AP84" s="568"/>
      <c r="AQ84" s="568"/>
      <c r="AR84" s="568"/>
      <c r="AS84" s="568"/>
      <c r="AT84" s="568"/>
      <c r="AU84" s="568"/>
      <c r="AV84" s="568"/>
      <c r="AW84" s="568"/>
      <c r="AX84" s="568"/>
      <c r="AY84" s="568"/>
      <c r="AZ84" s="568"/>
      <c r="BA84" s="568"/>
      <c r="BB84" s="568"/>
      <c r="BC84" s="568"/>
      <c r="BD84" s="568"/>
      <c r="BE84" s="568"/>
      <c r="BF84" s="568"/>
      <c r="BG84" s="568"/>
      <c r="BH84" s="568"/>
      <c r="BI84" s="568"/>
      <c r="BJ84" s="568"/>
      <c r="BK84" s="568"/>
      <c r="BL84" s="568"/>
      <c r="BM84" s="568"/>
      <c r="BN84" s="568"/>
      <c r="BO84" s="568"/>
      <c r="BP84" s="568"/>
      <c r="BQ84" s="568"/>
      <c r="BR84" s="568"/>
      <c r="BS84" s="568"/>
      <c r="BT84" s="568"/>
      <c r="BU84" s="568"/>
      <c r="BV84" s="568"/>
      <c r="BW84" s="568"/>
      <c r="BX84" s="568"/>
    </row>
    <row r="85" spans="1:76" x14ac:dyDescent="0.25">
      <c r="A85" s="568"/>
      <c r="B85" s="636" t="s">
        <v>247</v>
      </c>
      <c r="C85" s="911" t="s">
        <v>273</v>
      </c>
      <c r="D85" s="912"/>
      <c r="E85" s="127">
        <v>0</v>
      </c>
      <c r="F85" s="128">
        <v>0</v>
      </c>
      <c r="G85" s="128">
        <v>37.699999999999996</v>
      </c>
      <c r="H85" s="129">
        <v>165.75</v>
      </c>
      <c r="I85" s="127">
        <v>4.42</v>
      </c>
      <c r="J85" s="128">
        <v>11.700000000000001</v>
      </c>
      <c r="K85" s="128">
        <v>2.73</v>
      </c>
      <c r="L85" s="129">
        <v>0.78</v>
      </c>
      <c r="M85" s="127">
        <v>68.77000000000001</v>
      </c>
      <c r="N85" s="128">
        <v>117.78</v>
      </c>
      <c r="O85" s="128">
        <v>201.89000000000001</v>
      </c>
      <c r="P85" s="129">
        <v>329.15999999999997</v>
      </c>
      <c r="Q85" s="127">
        <v>418.34000000000003</v>
      </c>
      <c r="R85" s="128">
        <v>560.56000000000006</v>
      </c>
      <c r="S85" s="134">
        <v>873.73</v>
      </c>
      <c r="T85" s="135">
        <v>708.5</v>
      </c>
      <c r="U85" s="127">
        <v>381.94000000000005</v>
      </c>
      <c r="V85" s="128">
        <v>423.28000000000003</v>
      </c>
      <c r="W85" s="128">
        <v>549.12</v>
      </c>
      <c r="X85" s="129">
        <v>594.23</v>
      </c>
      <c r="Y85" s="127">
        <v>571.09</v>
      </c>
      <c r="Z85" s="128">
        <v>1165.3200000000002</v>
      </c>
      <c r="AA85" s="128">
        <v>1335.1</v>
      </c>
      <c r="AB85" s="129">
        <v>3737.1100000000006</v>
      </c>
      <c r="AC85" s="128">
        <v>4697.29</v>
      </c>
      <c r="AD85" s="128">
        <v>5380.7000000000007</v>
      </c>
      <c r="AE85" s="128">
        <v>6341.79</v>
      </c>
      <c r="AF85" s="128">
        <v>4557.0200000000004</v>
      </c>
      <c r="AG85" s="568"/>
      <c r="AH85" s="127">
        <f t="shared" si="11"/>
        <v>203.45</v>
      </c>
      <c r="AI85" s="128">
        <f t="shared" si="12"/>
        <v>19.630000000000003</v>
      </c>
      <c r="AJ85" s="128">
        <f t="shared" si="13"/>
        <v>717.6</v>
      </c>
      <c r="AK85" s="128">
        <f t="shared" si="14"/>
        <v>2561.13</v>
      </c>
      <c r="AL85" s="128">
        <f t="shared" si="15"/>
        <v>1948.5700000000002</v>
      </c>
      <c r="AM85" s="128">
        <f t="shared" si="16"/>
        <v>6808.6200000000008</v>
      </c>
      <c r="AN85" s="123">
        <f t="shared" si="17"/>
        <v>20976.800000000003</v>
      </c>
      <c r="AO85" s="568"/>
      <c r="AP85" s="568"/>
      <c r="AQ85" s="568"/>
      <c r="AR85" s="568"/>
      <c r="AS85" s="568"/>
      <c r="AT85" s="568"/>
      <c r="AU85" s="568"/>
      <c r="AV85" s="568"/>
      <c r="AW85" s="568"/>
      <c r="AX85" s="568"/>
      <c r="AY85" s="568"/>
      <c r="AZ85" s="568"/>
      <c r="BA85" s="568"/>
      <c r="BB85" s="568"/>
      <c r="BC85" s="568"/>
      <c r="BD85" s="568"/>
      <c r="BE85" s="568"/>
      <c r="BF85" s="568"/>
      <c r="BG85" s="568"/>
      <c r="BH85" s="568"/>
      <c r="BI85" s="568"/>
      <c r="BJ85" s="568"/>
      <c r="BK85" s="568"/>
      <c r="BL85" s="568"/>
      <c r="BM85" s="568"/>
      <c r="BN85" s="568"/>
      <c r="BO85" s="568"/>
      <c r="BP85" s="568"/>
      <c r="BQ85" s="568"/>
      <c r="BR85" s="568"/>
      <c r="BS85" s="568"/>
      <c r="BT85" s="568"/>
      <c r="BU85" s="568"/>
      <c r="BV85" s="568"/>
      <c r="BW85" s="568"/>
      <c r="BX85" s="568"/>
    </row>
    <row r="86" spans="1:76" x14ac:dyDescent="0.25">
      <c r="A86" s="568"/>
      <c r="B86" s="637" t="s">
        <v>188</v>
      </c>
      <c r="C86" s="913"/>
      <c r="D86" s="914"/>
      <c r="E86" s="121">
        <v>0</v>
      </c>
      <c r="F86" s="122">
        <v>0</v>
      </c>
      <c r="G86" s="122">
        <v>0</v>
      </c>
      <c r="H86" s="123">
        <v>32.5</v>
      </c>
      <c r="I86" s="121">
        <v>0</v>
      </c>
      <c r="J86" s="122">
        <v>0</v>
      </c>
      <c r="K86" s="122">
        <v>0</v>
      </c>
      <c r="L86" s="123">
        <v>0.78</v>
      </c>
      <c r="M86" s="121">
        <v>1.17</v>
      </c>
      <c r="N86" s="122">
        <v>1.3</v>
      </c>
      <c r="O86" s="122">
        <v>27.82</v>
      </c>
      <c r="P86" s="123">
        <v>15.730000000000002</v>
      </c>
      <c r="Q86" s="121">
        <v>24.44</v>
      </c>
      <c r="R86" s="122">
        <v>63.7</v>
      </c>
      <c r="S86" s="136">
        <v>126.62</v>
      </c>
      <c r="T86" s="137">
        <v>56.290000000000006</v>
      </c>
      <c r="U86" s="121">
        <v>118.82000000000002</v>
      </c>
      <c r="V86" s="122">
        <v>55.250000000000007</v>
      </c>
      <c r="W86" s="122">
        <v>99.45</v>
      </c>
      <c r="X86" s="123">
        <v>61.75</v>
      </c>
      <c r="Y86" s="121">
        <v>65</v>
      </c>
      <c r="Z86" s="122">
        <v>78</v>
      </c>
      <c r="AA86" s="122">
        <v>50.7</v>
      </c>
      <c r="AB86" s="123">
        <v>151.71</v>
      </c>
      <c r="AC86" s="122">
        <v>50.7</v>
      </c>
      <c r="AD86" s="122">
        <v>21.84</v>
      </c>
      <c r="AE86" s="122">
        <v>303.16000000000003</v>
      </c>
      <c r="AF86" s="122">
        <v>84.89</v>
      </c>
      <c r="AG86" s="568"/>
      <c r="AH86" s="121">
        <f t="shared" si="11"/>
        <v>32.5</v>
      </c>
      <c r="AI86" s="122">
        <f t="shared" si="12"/>
        <v>0.78</v>
      </c>
      <c r="AJ86" s="122">
        <f t="shared" si="13"/>
        <v>46.02</v>
      </c>
      <c r="AK86" s="122">
        <f t="shared" si="14"/>
        <v>271.05</v>
      </c>
      <c r="AL86" s="122">
        <f t="shared" si="15"/>
        <v>335.27000000000004</v>
      </c>
      <c r="AM86" s="122">
        <f t="shared" si="16"/>
        <v>345.40999999999997</v>
      </c>
      <c r="AN86" s="123">
        <f t="shared" si="17"/>
        <v>460.59000000000003</v>
      </c>
      <c r="AO86" s="568"/>
      <c r="AP86" s="568"/>
      <c r="AQ86" s="568"/>
      <c r="AR86" s="568"/>
      <c r="AS86" s="568"/>
      <c r="AT86" s="568"/>
      <c r="AU86" s="568"/>
      <c r="AV86" s="568"/>
      <c r="AW86" s="568"/>
      <c r="AX86" s="568"/>
      <c r="AY86" s="568"/>
      <c r="AZ86" s="568"/>
      <c r="BA86" s="568"/>
      <c r="BB86" s="568"/>
      <c r="BC86" s="568"/>
      <c r="BD86" s="568"/>
      <c r="BE86" s="568"/>
      <c r="BF86" s="568"/>
      <c r="BG86" s="568"/>
      <c r="BH86" s="568"/>
      <c r="BI86" s="568"/>
      <c r="BJ86" s="568"/>
      <c r="BK86" s="568"/>
      <c r="BL86" s="568"/>
      <c r="BM86" s="568"/>
      <c r="BN86" s="568"/>
      <c r="BO86" s="568"/>
      <c r="BP86" s="568"/>
      <c r="BQ86" s="568"/>
      <c r="BR86" s="568"/>
      <c r="BS86" s="568"/>
      <c r="BT86" s="568"/>
      <c r="BU86" s="568"/>
      <c r="BV86" s="568"/>
      <c r="BW86" s="568"/>
      <c r="BX86" s="568"/>
    </row>
    <row r="87" spans="1:76" x14ac:dyDescent="0.25">
      <c r="A87" s="568"/>
      <c r="B87" s="637" t="s">
        <v>189</v>
      </c>
      <c r="C87" s="913"/>
      <c r="D87" s="914"/>
      <c r="E87" s="121">
        <v>0</v>
      </c>
      <c r="F87" s="122">
        <v>0</v>
      </c>
      <c r="G87" s="122">
        <v>37.699999999999996</v>
      </c>
      <c r="H87" s="123">
        <v>133.25</v>
      </c>
      <c r="I87" s="121">
        <v>4.42</v>
      </c>
      <c r="J87" s="122">
        <v>11.700000000000001</v>
      </c>
      <c r="K87" s="122">
        <v>2.73</v>
      </c>
      <c r="L87" s="123">
        <v>0</v>
      </c>
      <c r="M87" s="121">
        <v>67.599999999999994</v>
      </c>
      <c r="N87" s="122">
        <v>116.48</v>
      </c>
      <c r="O87" s="122">
        <v>174.07000000000002</v>
      </c>
      <c r="P87" s="123">
        <v>313.43</v>
      </c>
      <c r="Q87" s="121">
        <v>393.90000000000003</v>
      </c>
      <c r="R87" s="122">
        <v>496.86</v>
      </c>
      <c r="S87" s="136">
        <v>747.11</v>
      </c>
      <c r="T87" s="137">
        <v>652.21</v>
      </c>
      <c r="U87" s="121">
        <v>263.12</v>
      </c>
      <c r="V87" s="122">
        <v>368.03000000000003</v>
      </c>
      <c r="W87" s="122">
        <v>449.67</v>
      </c>
      <c r="X87" s="123">
        <v>532.48</v>
      </c>
      <c r="Y87" s="121">
        <v>506.09000000000003</v>
      </c>
      <c r="Z87" s="122">
        <v>1087.3200000000002</v>
      </c>
      <c r="AA87" s="122">
        <v>1284.4000000000001</v>
      </c>
      <c r="AB87" s="123">
        <v>3585.4000000000005</v>
      </c>
      <c r="AC87" s="122">
        <v>4646.59</v>
      </c>
      <c r="AD87" s="122">
        <v>5358.8600000000006</v>
      </c>
      <c r="AE87" s="122">
        <v>6038.63</v>
      </c>
      <c r="AF87" s="122">
        <v>4472.13</v>
      </c>
      <c r="AG87" s="568"/>
      <c r="AH87" s="121">
        <f t="shared" si="11"/>
        <v>170.95</v>
      </c>
      <c r="AI87" s="122">
        <f t="shared" si="12"/>
        <v>18.850000000000001</v>
      </c>
      <c r="AJ87" s="122">
        <f t="shared" si="13"/>
        <v>671.57999999999993</v>
      </c>
      <c r="AK87" s="122">
        <f t="shared" si="14"/>
        <v>2290.08</v>
      </c>
      <c r="AL87" s="122">
        <f t="shared" si="15"/>
        <v>1613.3000000000002</v>
      </c>
      <c r="AM87" s="122">
        <f t="shared" si="16"/>
        <v>6463.2100000000009</v>
      </c>
      <c r="AN87" s="123">
        <f t="shared" si="17"/>
        <v>20516.210000000003</v>
      </c>
      <c r="AO87" s="568"/>
      <c r="AP87" s="568"/>
      <c r="AQ87" s="568"/>
      <c r="AR87" s="568"/>
      <c r="AS87" s="568"/>
      <c r="AT87" s="568"/>
      <c r="AU87" s="568"/>
      <c r="AV87" s="568"/>
      <c r="AW87" s="568"/>
      <c r="AX87" s="568"/>
      <c r="AY87" s="568"/>
      <c r="AZ87" s="568"/>
      <c r="BA87" s="568"/>
      <c r="BB87" s="568"/>
      <c r="BC87" s="568"/>
      <c r="BD87" s="568"/>
      <c r="BE87" s="568"/>
      <c r="BF87" s="568"/>
      <c r="BG87" s="568"/>
      <c r="BH87" s="568"/>
      <c r="BI87" s="568"/>
      <c r="BJ87" s="568"/>
      <c r="BK87" s="568"/>
      <c r="BL87" s="568"/>
      <c r="BM87" s="568"/>
      <c r="BN87" s="568"/>
      <c r="BO87" s="568"/>
      <c r="BP87" s="568"/>
      <c r="BQ87" s="568"/>
      <c r="BR87" s="568"/>
      <c r="BS87" s="568"/>
      <c r="BT87" s="568"/>
      <c r="BU87" s="568"/>
      <c r="BV87" s="568"/>
      <c r="BW87" s="568"/>
      <c r="BX87" s="568"/>
    </row>
    <row r="88" spans="1:76" x14ac:dyDescent="0.25">
      <c r="A88" s="568"/>
      <c r="B88" s="637" t="s">
        <v>195</v>
      </c>
      <c r="C88" s="915"/>
      <c r="D88" s="916"/>
      <c r="E88" s="121">
        <v>0</v>
      </c>
      <c r="F88" s="122">
        <v>0</v>
      </c>
      <c r="G88" s="122">
        <v>36.4</v>
      </c>
      <c r="H88" s="123">
        <v>133.25</v>
      </c>
      <c r="I88" s="121">
        <v>0</v>
      </c>
      <c r="J88" s="122">
        <v>0</v>
      </c>
      <c r="K88" s="122">
        <v>1.17</v>
      </c>
      <c r="L88" s="123">
        <v>0.52</v>
      </c>
      <c r="M88" s="121">
        <v>35.1</v>
      </c>
      <c r="N88" s="122">
        <v>59.93</v>
      </c>
      <c r="O88" s="122">
        <v>144.17000000000002</v>
      </c>
      <c r="P88" s="123">
        <v>128.57</v>
      </c>
      <c r="Q88" s="121">
        <v>65.650000000000006</v>
      </c>
      <c r="R88" s="122">
        <v>298.74</v>
      </c>
      <c r="S88" s="136">
        <v>421.33</v>
      </c>
      <c r="T88" s="137">
        <v>231.14000000000001</v>
      </c>
      <c r="U88" s="121">
        <v>212.68</v>
      </c>
      <c r="V88" s="122">
        <v>84.240000000000009</v>
      </c>
      <c r="W88" s="122">
        <v>113.88</v>
      </c>
      <c r="X88" s="123">
        <v>83.2</v>
      </c>
      <c r="Y88" s="121">
        <v>174.59</v>
      </c>
      <c r="Z88" s="122">
        <v>257.52999999999997</v>
      </c>
      <c r="AA88" s="122">
        <v>454.09</v>
      </c>
      <c r="AB88" s="123">
        <v>2636.53</v>
      </c>
      <c r="AC88" s="122">
        <v>3636.88</v>
      </c>
      <c r="AD88" s="122">
        <v>4603.5600000000004</v>
      </c>
      <c r="AE88" s="122">
        <v>4703.1399999999994</v>
      </c>
      <c r="AF88" s="122">
        <v>3089.5800000000004</v>
      </c>
      <c r="AG88" s="568"/>
      <c r="AH88" s="121">
        <f t="shared" si="11"/>
        <v>169.65</v>
      </c>
      <c r="AI88" s="122">
        <f t="shared" si="12"/>
        <v>1.69</v>
      </c>
      <c r="AJ88" s="122">
        <f t="shared" si="13"/>
        <v>367.77</v>
      </c>
      <c r="AK88" s="122">
        <f t="shared" si="14"/>
        <v>1016.86</v>
      </c>
      <c r="AL88" s="122">
        <f t="shared" si="15"/>
        <v>494</v>
      </c>
      <c r="AM88" s="122">
        <f t="shared" si="16"/>
        <v>3522.7400000000002</v>
      </c>
      <c r="AN88" s="123">
        <f t="shared" si="17"/>
        <v>16033.16</v>
      </c>
      <c r="AO88" s="568"/>
      <c r="AP88" s="568"/>
      <c r="AQ88" s="568"/>
      <c r="AR88" s="568"/>
      <c r="AS88" s="568"/>
      <c r="AT88" s="568"/>
      <c r="AU88" s="568"/>
      <c r="AV88" s="568"/>
      <c r="AW88" s="568"/>
      <c r="AX88" s="568"/>
      <c r="AY88" s="568"/>
      <c r="AZ88" s="568"/>
      <c r="BA88" s="568"/>
      <c r="BB88" s="568"/>
      <c r="BC88" s="568"/>
      <c r="BD88" s="568"/>
      <c r="BE88" s="568"/>
      <c r="BF88" s="568"/>
      <c r="BG88" s="568"/>
      <c r="BH88" s="568"/>
      <c r="BI88" s="568"/>
      <c r="BJ88" s="568"/>
      <c r="BK88" s="568"/>
      <c r="BL88" s="568"/>
      <c r="BM88" s="568"/>
      <c r="BN88" s="568"/>
      <c r="BO88" s="568"/>
      <c r="BP88" s="568"/>
      <c r="BQ88" s="568"/>
      <c r="BR88" s="568"/>
      <c r="BS88" s="568"/>
      <c r="BT88" s="568"/>
      <c r="BU88" s="568"/>
      <c r="BV88" s="568"/>
      <c r="BW88" s="568"/>
      <c r="BX88" s="568"/>
    </row>
    <row r="89" spans="1:76" x14ac:dyDescent="0.25">
      <c r="A89" s="568"/>
      <c r="B89" s="638" t="s">
        <v>247</v>
      </c>
      <c r="C89" s="917" t="s">
        <v>274</v>
      </c>
      <c r="D89" s="918"/>
      <c r="E89" s="124">
        <v>226.07</v>
      </c>
      <c r="F89" s="125">
        <v>201.37</v>
      </c>
      <c r="G89" s="125">
        <v>221.39000000000001</v>
      </c>
      <c r="H89" s="126">
        <v>127.00999999999999</v>
      </c>
      <c r="I89" s="124">
        <v>121.55000000000001</v>
      </c>
      <c r="J89" s="125">
        <v>138.84</v>
      </c>
      <c r="K89" s="125">
        <v>71.37</v>
      </c>
      <c r="L89" s="126">
        <v>96.72</v>
      </c>
      <c r="M89" s="124">
        <v>91.78</v>
      </c>
      <c r="N89" s="125">
        <v>61.49</v>
      </c>
      <c r="O89" s="125">
        <v>115.44</v>
      </c>
      <c r="P89" s="126">
        <v>115.69999999999999</v>
      </c>
      <c r="Q89" s="124">
        <v>107.51</v>
      </c>
      <c r="R89" s="125">
        <v>138.19</v>
      </c>
      <c r="S89" s="138">
        <v>126.10000000000001</v>
      </c>
      <c r="T89" s="139">
        <v>142.87</v>
      </c>
      <c r="U89" s="124">
        <v>209.95</v>
      </c>
      <c r="V89" s="125">
        <v>304.07</v>
      </c>
      <c r="W89" s="125">
        <v>119.34000000000002</v>
      </c>
      <c r="X89" s="126">
        <v>723.32</v>
      </c>
      <c r="Y89" s="124">
        <v>624.52</v>
      </c>
      <c r="Z89" s="125">
        <v>533.13</v>
      </c>
      <c r="AA89" s="125">
        <v>516.75</v>
      </c>
      <c r="AB89" s="126">
        <v>862.03</v>
      </c>
      <c r="AC89" s="125">
        <v>183.17000000000002</v>
      </c>
      <c r="AD89" s="125">
        <v>198.89999999999998</v>
      </c>
      <c r="AE89" s="125">
        <v>371.67</v>
      </c>
      <c r="AF89" s="125">
        <v>823.29000000000008</v>
      </c>
      <c r="AG89" s="568"/>
      <c r="AH89" s="124">
        <f t="shared" si="11"/>
        <v>775.84</v>
      </c>
      <c r="AI89" s="125">
        <f t="shared" si="12"/>
        <v>428.48</v>
      </c>
      <c r="AJ89" s="125">
        <f t="shared" si="13"/>
        <v>384.41</v>
      </c>
      <c r="AK89" s="125">
        <f t="shared" si="14"/>
        <v>514.67000000000007</v>
      </c>
      <c r="AL89" s="125">
        <f t="shared" si="15"/>
        <v>1356.68</v>
      </c>
      <c r="AM89" s="125">
        <f t="shared" si="16"/>
        <v>2536.4300000000003</v>
      </c>
      <c r="AN89" s="126">
        <f t="shared" si="17"/>
        <v>1577.0300000000002</v>
      </c>
      <c r="AO89" s="568"/>
      <c r="AP89" s="568"/>
      <c r="AQ89" s="568"/>
      <c r="AR89" s="568"/>
      <c r="AS89" s="568"/>
      <c r="AT89" s="568"/>
      <c r="AU89" s="568"/>
      <c r="AV89" s="568"/>
      <c r="AW89" s="568"/>
      <c r="AX89" s="568"/>
      <c r="AY89" s="568"/>
      <c r="AZ89" s="568"/>
      <c r="BA89" s="568"/>
      <c r="BB89" s="568"/>
      <c r="BC89" s="568"/>
      <c r="BD89" s="568"/>
      <c r="BE89" s="568"/>
      <c r="BF89" s="568"/>
      <c r="BG89" s="568"/>
      <c r="BH89" s="568"/>
      <c r="BI89" s="568"/>
      <c r="BJ89" s="568"/>
      <c r="BK89" s="568"/>
      <c r="BL89" s="568"/>
      <c r="BM89" s="568"/>
      <c r="BN89" s="568"/>
      <c r="BO89" s="568"/>
      <c r="BP89" s="568"/>
      <c r="BQ89" s="568"/>
      <c r="BR89" s="568"/>
      <c r="BS89" s="568"/>
      <c r="BT89" s="568"/>
      <c r="BU89" s="568"/>
      <c r="BV89" s="568"/>
      <c r="BW89" s="568"/>
      <c r="BX89" s="568"/>
    </row>
    <row r="90" spans="1:76" x14ac:dyDescent="0.25">
      <c r="A90" s="568"/>
      <c r="B90" s="638" t="s">
        <v>188</v>
      </c>
      <c r="C90" s="919"/>
      <c r="D90" s="920"/>
      <c r="E90" s="124">
        <v>178.1</v>
      </c>
      <c r="F90" s="125">
        <v>179.53</v>
      </c>
      <c r="G90" s="125">
        <v>193.31</v>
      </c>
      <c r="H90" s="126">
        <v>89.83</v>
      </c>
      <c r="I90" s="124">
        <v>106.73</v>
      </c>
      <c r="J90" s="125">
        <v>116.09</v>
      </c>
      <c r="K90" s="125">
        <v>55.77</v>
      </c>
      <c r="L90" s="126">
        <v>67.08</v>
      </c>
      <c r="M90" s="124">
        <v>56.03</v>
      </c>
      <c r="N90" s="125">
        <v>60.190000000000005</v>
      </c>
      <c r="O90" s="125">
        <v>48.88</v>
      </c>
      <c r="P90" s="126">
        <v>79.69</v>
      </c>
      <c r="Q90" s="124">
        <v>103.09</v>
      </c>
      <c r="R90" s="125">
        <v>135.59</v>
      </c>
      <c r="S90" s="138">
        <v>123.50000000000001</v>
      </c>
      <c r="T90" s="139">
        <v>141.18</v>
      </c>
      <c r="U90" s="124">
        <v>150.79999999999998</v>
      </c>
      <c r="V90" s="125">
        <v>229.97</v>
      </c>
      <c r="W90" s="125">
        <v>117.91000000000001</v>
      </c>
      <c r="X90" s="126">
        <v>721.37</v>
      </c>
      <c r="Y90" s="124">
        <v>622.30999999999995</v>
      </c>
      <c r="Z90" s="125">
        <v>499.98</v>
      </c>
      <c r="AA90" s="125">
        <v>493.48</v>
      </c>
      <c r="AB90" s="126">
        <v>829.79</v>
      </c>
      <c r="AC90" s="125">
        <v>183.17000000000002</v>
      </c>
      <c r="AD90" s="125">
        <v>187.07</v>
      </c>
      <c r="AE90" s="125">
        <v>370.24</v>
      </c>
      <c r="AF90" s="125">
        <v>646.88</v>
      </c>
      <c r="AG90" s="568"/>
      <c r="AH90" s="124">
        <f t="shared" si="11"/>
        <v>640.7700000000001</v>
      </c>
      <c r="AI90" s="125">
        <f t="shared" si="12"/>
        <v>345.66999999999996</v>
      </c>
      <c r="AJ90" s="125">
        <f t="shared" si="13"/>
        <v>244.79</v>
      </c>
      <c r="AK90" s="125">
        <f t="shared" si="14"/>
        <v>503.36</v>
      </c>
      <c r="AL90" s="125">
        <f t="shared" si="15"/>
        <v>1220.05</v>
      </c>
      <c r="AM90" s="125">
        <f t="shared" si="16"/>
        <v>2445.56</v>
      </c>
      <c r="AN90" s="126">
        <f t="shared" si="17"/>
        <v>1387.3600000000001</v>
      </c>
      <c r="AO90" s="568"/>
      <c r="AP90" s="568"/>
      <c r="AQ90" s="568"/>
      <c r="AR90" s="568"/>
      <c r="AS90" s="568"/>
      <c r="AT90" s="568"/>
      <c r="AU90" s="568"/>
      <c r="AV90" s="568"/>
      <c r="AW90" s="568"/>
      <c r="AX90" s="568"/>
      <c r="AY90" s="568"/>
      <c r="AZ90" s="568"/>
      <c r="BA90" s="568"/>
      <c r="BB90" s="568"/>
      <c r="BC90" s="568"/>
      <c r="BD90" s="568"/>
      <c r="BE90" s="568"/>
      <c r="BF90" s="568"/>
      <c r="BG90" s="568"/>
      <c r="BH90" s="568"/>
      <c r="BI90" s="568"/>
      <c r="BJ90" s="568"/>
      <c r="BK90" s="568"/>
      <c r="BL90" s="568"/>
      <c r="BM90" s="568"/>
      <c r="BN90" s="568"/>
      <c r="BO90" s="568"/>
      <c r="BP90" s="568"/>
      <c r="BQ90" s="568"/>
      <c r="BR90" s="568"/>
      <c r="BS90" s="568"/>
      <c r="BT90" s="568"/>
      <c r="BU90" s="568"/>
      <c r="BV90" s="568"/>
      <c r="BW90" s="568"/>
      <c r="BX90" s="568"/>
    </row>
    <row r="91" spans="1:76" x14ac:dyDescent="0.25">
      <c r="A91" s="568"/>
      <c r="B91" s="638" t="s">
        <v>189</v>
      </c>
      <c r="C91" s="919"/>
      <c r="D91" s="920"/>
      <c r="E91" s="124">
        <v>47.97</v>
      </c>
      <c r="F91" s="125">
        <v>21.84</v>
      </c>
      <c r="G91" s="125">
        <v>28.080000000000002</v>
      </c>
      <c r="H91" s="126">
        <v>37.18</v>
      </c>
      <c r="I91" s="124">
        <v>14.82</v>
      </c>
      <c r="J91" s="125">
        <v>22.75</v>
      </c>
      <c r="K91" s="125">
        <v>15.600000000000001</v>
      </c>
      <c r="L91" s="126">
        <v>29.64</v>
      </c>
      <c r="M91" s="124">
        <v>35.750000000000007</v>
      </c>
      <c r="N91" s="125">
        <v>1.3</v>
      </c>
      <c r="O91" s="125">
        <v>66.56</v>
      </c>
      <c r="P91" s="126">
        <v>36.01</v>
      </c>
      <c r="Q91" s="124">
        <v>4.42</v>
      </c>
      <c r="R91" s="125">
        <v>2.6</v>
      </c>
      <c r="S91" s="138">
        <v>2.6</v>
      </c>
      <c r="T91" s="139">
        <v>1.69</v>
      </c>
      <c r="U91" s="124">
        <v>59.15</v>
      </c>
      <c r="V91" s="125">
        <v>74.100000000000009</v>
      </c>
      <c r="W91" s="125">
        <v>1.4300000000000002</v>
      </c>
      <c r="X91" s="126">
        <v>1.9500000000000002</v>
      </c>
      <c r="Y91" s="124">
        <v>2.21</v>
      </c>
      <c r="Z91" s="125">
        <v>33.15</v>
      </c>
      <c r="AA91" s="125">
        <v>23.27</v>
      </c>
      <c r="AB91" s="126">
        <v>32.24</v>
      </c>
      <c r="AC91" s="125">
        <v>0</v>
      </c>
      <c r="AD91" s="125">
        <v>11.830000000000002</v>
      </c>
      <c r="AE91" s="125">
        <v>1.4300000000000002</v>
      </c>
      <c r="AF91" s="125">
        <v>176.41</v>
      </c>
      <c r="AG91" s="568"/>
      <c r="AH91" s="124">
        <f t="shared" si="11"/>
        <v>135.07</v>
      </c>
      <c r="AI91" s="125">
        <f t="shared" si="12"/>
        <v>82.81</v>
      </c>
      <c r="AJ91" s="125">
        <f t="shared" si="13"/>
        <v>139.62</v>
      </c>
      <c r="AK91" s="125">
        <f t="shared" si="14"/>
        <v>11.309999999999999</v>
      </c>
      <c r="AL91" s="125">
        <f t="shared" si="15"/>
        <v>136.63</v>
      </c>
      <c r="AM91" s="125">
        <f t="shared" si="16"/>
        <v>90.87</v>
      </c>
      <c r="AN91" s="126">
        <f t="shared" si="17"/>
        <v>189.67</v>
      </c>
      <c r="AO91" s="568"/>
      <c r="AP91" s="568"/>
      <c r="AQ91" s="568"/>
      <c r="AR91" s="568"/>
      <c r="AS91" s="568"/>
      <c r="AT91" s="568"/>
      <c r="AU91" s="568"/>
      <c r="AV91" s="568"/>
      <c r="AW91" s="568"/>
      <c r="AX91" s="568"/>
      <c r="AY91" s="568"/>
      <c r="AZ91" s="568"/>
      <c r="BA91" s="568"/>
      <c r="BB91" s="568"/>
      <c r="BC91" s="568"/>
      <c r="BD91" s="568"/>
      <c r="BE91" s="568"/>
      <c r="BF91" s="568"/>
      <c r="BG91" s="568"/>
      <c r="BH91" s="568"/>
      <c r="BI91" s="568"/>
      <c r="BJ91" s="568"/>
      <c r="BK91" s="568"/>
      <c r="BL91" s="568"/>
      <c r="BM91" s="568"/>
      <c r="BN91" s="568"/>
      <c r="BO91" s="568"/>
      <c r="BP91" s="568"/>
      <c r="BQ91" s="568"/>
      <c r="BR91" s="568"/>
      <c r="BS91" s="568"/>
      <c r="BT91" s="568"/>
      <c r="BU91" s="568"/>
      <c r="BV91" s="568"/>
      <c r="BW91" s="568"/>
      <c r="BX91" s="568"/>
    </row>
    <row r="92" spans="1:76" ht="15.75" thickBot="1" x14ac:dyDescent="0.3">
      <c r="A92" s="568"/>
      <c r="B92" s="639" t="s">
        <v>195</v>
      </c>
      <c r="C92" s="921"/>
      <c r="D92" s="922"/>
      <c r="E92" s="130">
        <v>223.34</v>
      </c>
      <c r="F92" s="131">
        <v>198.12</v>
      </c>
      <c r="G92" s="131">
        <v>219.44000000000003</v>
      </c>
      <c r="H92" s="132">
        <v>127.00999999999999</v>
      </c>
      <c r="I92" s="130">
        <v>120.50999999999999</v>
      </c>
      <c r="J92" s="131">
        <v>138.44999999999999</v>
      </c>
      <c r="K92" s="131">
        <v>71.37</v>
      </c>
      <c r="L92" s="132">
        <v>96.72</v>
      </c>
      <c r="M92" s="130">
        <v>91.26</v>
      </c>
      <c r="N92" s="131">
        <v>57.85</v>
      </c>
      <c r="O92" s="131">
        <v>50.31</v>
      </c>
      <c r="P92" s="132">
        <v>115.18</v>
      </c>
      <c r="Q92" s="130">
        <v>104.65</v>
      </c>
      <c r="R92" s="131">
        <v>134.29</v>
      </c>
      <c r="S92" s="140">
        <v>123.76</v>
      </c>
      <c r="T92" s="141">
        <v>139.36000000000001</v>
      </c>
      <c r="U92" s="130">
        <v>160.16</v>
      </c>
      <c r="V92" s="131">
        <v>300.82</v>
      </c>
      <c r="W92" s="131">
        <v>117.00000000000001</v>
      </c>
      <c r="X92" s="132">
        <v>719.81000000000006</v>
      </c>
      <c r="Y92" s="130">
        <v>623.09</v>
      </c>
      <c r="Z92" s="131">
        <v>489.58</v>
      </c>
      <c r="AA92" s="131">
        <v>496.73</v>
      </c>
      <c r="AB92" s="132">
        <v>848.12</v>
      </c>
      <c r="AC92" s="125">
        <v>165.75</v>
      </c>
      <c r="AD92" s="125">
        <v>184.47</v>
      </c>
      <c r="AE92" s="125">
        <v>344.24</v>
      </c>
      <c r="AF92" s="125">
        <v>767.13</v>
      </c>
      <c r="AG92" s="568"/>
      <c r="AH92" s="130">
        <f t="shared" si="11"/>
        <v>767.91000000000008</v>
      </c>
      <c r="AI92" s="131">
        <f t="shared" si="12"/>
        <v>427.04999999999995</v>
      </c>
      <c r="AJ92" s="131">
        <f t="shared" si="13"/>
        <v>314.60000000000002</v>
      </c>
      <c r="AK92" s="131">
        <f t="shared" si="14"/>
        <v>502.06</v>
      </c>
      <c r="AL92" s="131">
        <f t="shared" si="15"/>
        <v>1297.79</v>
      </c>
      <c r="AM92" s="131">
        <f t="shared" si="16"/>
        <v>2457.52</v>
      </c>
      <c r="AN92" s="126">
        <f t="shared" si="17"/>
        <v>1461.5900000000001</v>
      </c>
      <c r="AO92" s="568"/>
      <c r="AP92" s="568"/>
      <c r="AQ92" s="568"/>
      <c r="AR92" s="568"/>
      <c r="AS92" s="568"/>
      <c r="AT92" s="568"/>
      <c r="AU92" s="568"/>
      <c r="AV92" s="568"/>
      <c r="AW92" s="568"/>
      <c r="AX92" s="568"/>
      <c r="AY92" s="568"/>
      <c r="AZ92" s="568"/>
      <c r="BA92" s="568"/>
      <c r="BB92" s="568"/>
      <c r="BC92" s="568"/>
      <c r="BD92" s="568"/>
      <c r="BE92" s="568"/>
      <c r="BF92" s="568"/>
      <c r="BG92" s="568"/>
      <c r="BH92" s="568"/>
      <c r="BI92" s="568"/>
      <c r="BJ92" s="568"/>
      <c r="BK92" s="568"/>
      <c r="BL92" s="568"/>
      <c r="BM92" s="568"/>
      <c r="BN92" s="568"/>
      <c r="BO92" s="568"/>
      <c r="BP92" s="568"/>
      <c r="BQ92" s="568"/>
      <c r="BR92" s="568"/>
      <c r="BS92" s="568"/>
      <c r="BT92" s="568"/>
      <c r="BU92" s="568"/>
      <c r="BV92" s="568"/>
      <c r="BW92" s="568"/>
      <c r="BX92" s="568"/>
    </row>
    <row r="93" spans="1:76" x14ac:dyDescent="0.25">
      <c r="A93" s="568"/>
      <c r="B93" s="636" t="s">
        <v>247</v>
      </c>
      <c r="C93" s="911" t="s">
        <v>275</v>
      </c>
      <c r="D93" s="912"/>
      <c r="E93" s="127">
        <v>155064.39000000001</v>
      </c>
      <c r="F93" s="128">
        <v>184026.83</v>
      </c>
      <c r="G93" s="128">
        <v>183594.45</v>
      </c>
      <c r="H93" s="129">
        <v>189910.63</v>
      </c>
      <c r="I93" s="127">
        <v>171461.55000000002</v>
      </c>
      <c r="J93" s="128">
        <v>176401.55000000002</v>
      </c>
      <c r="K93" s="128">
        <v>183531.66</v>
      </c>
      <c r="L93" s="129">
        <v>206265.41000000003</v>
      </c>
      <c r="M93" s="127">
        <v>178370.92</v>
      </c>
      <c r="N93" s="128">
        <v>203071.05</v>
      </c>
      <c r="O93" s="128">
        <v>213413.2</v>
      </c>
      <c r="P93" s="129">
        <v>239343.91000000003</v>
      </c>
      <c r="Q93" s="127">
        <v>213569.07</v>
      </c>
      <c r="R93" s="128">
        <v>221432.12</v>
      </c>
      <c r="S93" s="134">
        <v>231409.23</v>
      </c>
      <c r="T93" s="135">
        <v>221638.03999999998</v>
      </c>
      <c r="U93" s="127">
        <v>200508.36</v>
      </c>
      <c r="V93" s="128">
        <v>219328.85</v>
      </c>
      <c r="W93" s="128">
        <v>221269.62</v>
      </c>
      <c r="X93" s="129">
        <v>214059.3</v>
      </c>
      <c r="Y93" s="127">
        <v>194507.95</v>
      </c>
      <c r="Z93" s="128">
        <v>197947.36</v>
      </c>
      <c r="AA93" s="128">
        <v>197847</v>
      </c>
      <c r="AB93" s="129">
        <v>210888.47</v>
      </c>
      <c r="AC93" s="128">
        <v>204489.74000000002</v>
      </c>
      <c r="AD93" s="128">
        <v>186589.91</v>
      </c>
      <c r="AE93" s="128">
        <v>211208.53</v>
      </c>
      <c r="AF93" s="128">
        <v>214354.14</v>
      </c>
      <c r="AG93" s="568"/>
      <c r="AH93" s="127">
        <f t="shared" si="11"/>
        <v>712596.3</v>
      </c>
      <c r="AI93" s="128">
        <f t="shared" si="12"/>
        <v>737660.17</v>
      </c>
      <c r="AJ93" s="128">
        <f t="shared" si="13"/>
        <v>834199.08</v>
      </c>
      <c r="AK93" s="128">
        <f t="shared" si="14"/>
        <v>888048.46</v>
      </c>
      <c r="AL93" s="128">
        <f t="shared" si="15"/>
        <v>855166.12999999989</v>
      </c>
      <c r="AM93" s="128">
        <f t="shared" si="16"/>
        <v>801190.78</v>
      </c>
      <c r="AN93" s="123">
        <f t="shared" si="17"/>
        <v>816642.32000000007</v>
      </c>
      <c r="AO93" s="568"/>
      <c r="AP93" s="568"/>
      <c r="AQ93" s="568"/>
      <c r="AR93" s="568"/>
      <c r="AS93" s="568"/>
      <c r="AT93" s="568"/>
      <c r="AU93" s="568"/>
      <c r="AV93" s="568"/>
      <c r="AW93" s="568"/>
      <c r="AX93" s="568"/>
      <c r="AY93" s="568"/>
      <c r="AZ93" s="568"/>
      <c r="BA93" s="568"/>
      <c r="BB93" s="568"/>
      <c r="BC93" s="568"/>
      <c r="BD93" s="568"/>
      <c r="BE93" s="568"/>
      <c r="BF93" s="568"/>
      <c r="BG93" s="568"/>
      <c r="BH93" s="568"/>
      <c r="BI93" s="568"/>
      <c r="BJ93" s="568"/>
      <c r="BK93" s="568"/>
      <c r="BL93" s="568"/>
      <c r="BM93" s="568"/>
      <c r="BN93" s="568"/>
      <c r="BO93" s="568"/>
      <c r="BP93" s="568"/>
      <c r="BQ93" s="568"/>
      <c r="BR93" s="568"/>
      <c r="BS93" s="568"/>
      <c r="BT93" s="568"/>
      <c r="BU93" s="568"/>
      <c r="BV93" s="568"/>
      <c r="BW93" s="568"/>
      <c r="BX93" s="568"/>
    </row>
    <row r="94" spans="1:76" x14ac:dyDescent="0.25">
      <c r="A94" s="568"/>
      <c r="B94" s="637" t="s">
        <v>188</v>
      </c>
      <c r="C94" s="913"/>
      <c r="D94" s="914"/>
      <c r="E94" s="121">
        <v>87201.790000000008</v>
      </c>
      <c r="F94" s="122">
        <v>94657.68</v>
      </c>
      <c r="G94" s="122">
        <v>96454.41</v>
      </c>
      <c r="H94" s="123">
        <v>95223.57</v>
      </c>
      <c r="I94" s="121">
        <v>97079.71</v>
      </c>
      <c r="J94" s="122">
        <v>101312.77</v>
      </c>
      <c r="K94" s="122">
        <v>104845.13</v>
      </c>
      <c r="L94" s="123">
        <v>106088.19</v>
      </c>
      <c r="M94" s="121">
        <v>98084.61</v>
      </c>
      <c r="N94" s="122">
        <v>115437.01000000001</v>
      </c>
      <c r="O94" s="122">
        <v>114459.41</v>
      </c>
      <c r="P94" s="123">
        <v>122202.99000000002</v>
      </c>
      <c r="Q94" s="121">
        <v>106113.93</v>
      </c>
      <c r="R94" s="122">
        <v>113262.5</v>
      </c>
      <c r="S94" s="136">
        <v>112392.15</v>
      </c>
      <c r="T94" s="137">
        <v>112447.53</v>
      </c>
      <c r="U94" s="121">
        <v>110090.24000000001</v>
      </c>
      <c r="V94" s="122">
        <v>127310.56</v>
      </c>
      <c r="W94" s="122">
        <v>122806.84</v>
      </c>
      <c r="X94" s="123">
        <v>112345.87</v>
      </c>
      <c r="Y94" s="121">
        <v>101584.86</v>
      </c>
      <c r="Z94" s="122">
        <v>101718.5</v>
      </c>
      <c r="AA94" s="122">
        <v>98082.4</v>
      </c>
      <c r="AB94" s="123">
        <v>106204.54000000001</v>
      </c>
      <c r="AC94" s="122">
        <v>99228.35</v>
      </c>
      <c r="AD94" s="122">
        <v>89543.61</v>
      </c>
      <c r="AE94" s="122">
        <v>98398.69</v>
      </c>
      <c r="AF94" s="122">
        <v>96095.35</v>
      </c>
      <c r="AG94" s="568"/>
      <c r="AH94" s="121">
        <f t="shared" si="11"/>
        <v>373537.45</v>
      </c>
      <c r="AI94" s="122">
        <f t="shared" si="12"/>
        <v>409325.8</v>
      </c>
      <c r="AJ94" s="122">
        <f t="shared" si="13"/>
        <v>450184.02</v>
      </c>
      <c r="AK94" s="122">
        <f t="shared" si="14"/>
        <v>444216.11</v>
      </c>
      <c r="AL94" s="122">
        <f t="shared" si="15"/>
        <v>472553.51</v>
      </c>
      <c r="AM94" s="122">
        <f t="shared" si="16"/>
        <v>407590.30000000005</v>
      </c>
      <c r="AN94" s="123">
        <f t="shared" si="17"/>
        <v>383266</v>
      </c>
      <c r="AO94" s="568"/>
      <c r="AP94" s="568"/>
      <c r="AQ94" s="568"/>
      <c r="AR94" s="568"/>
      <c r="AS94" s="568"/>
      <c r="AT94" s="568"/>
      <c r="AU94" s="568"/>
      <c r="AV94" s="568"/>
      <c r="AW94" s="568"/>
      <c r="AX94" s="568"/>
      <c r="AY94" s="568"/>
      <c r="AZ94" s="568"/>
      <c r="BA94" s="568"/>
      <c r="BB94" s="568"/>
      <c r="BC94" s="568"/>
      <c r="BD94" s="568"/>
      <c r="BE94" s="568"/>
      <c r="BF94" s="568"/>
      <c r="BG94" s="568"/>
      <c r="BH94" s="568"/>
      <c r="BI94" s="568"/>
      <c r="BJ94" s="568"/>
      <c r="BK94" s="568"/>
      <c r="BL94" s="568"/>
      <c r="BM94" s="568"/>
      <c r="BN94" s="568"/>
      <c r="BO94" s="568"/>
      <c r="BP94" s="568"/>
      <c r="BQ94" s="568"/>
      <c r="BR94" s="568"/>
      <c r="BS94" s="568"/>
      <c r="BT94" s="568"/>
      <c r="BU94" s="568"/>
      <c r="BV94" s="568"/>
      <c r="BW94" s="568"/>
      <c r="BX94" s="568"/>
    </row>
    <row r="95" spans="1:76" x14ac:dyDescent="0.25">
      <c r="A95" s="568"/>
      <c r="B95" s="637" t="s">
        <v>189</v>
      </c>
      <c r="C95" s="913"/>
      <c r="D95" s="914"/>
      <c r="E95" s="121">
        <v>67862.600000000006</v>
      </c>
      <c r="F95" s="122">
        <v>89369.15</v>
      </c>
      <c r="G95" s="122">
        <v>87140.040000000008</v>
      </c>
      <c r="H95" s="123">
        <v>94687.06</v>
      </c>
      <c r="I95" s="121">
        <v>74381.84</v>
      </c>
      <c r="J95" s="122">
        <v>75088.78</v>
      </c>
      <c r="K95" s="122">
        <v>78686.53</v>
      </c>
      <c r="L95" s="123">
        <v>100177.22</v>
      </c>
      <c r="M95" s="121">
        <v>80286.31</v>
      </c>
      <c r="N95" s="122">
        <v>87634.040000000008</v>
      </c>
      <c r="O95" s="122">
        <v>98953.790000000008</v>
      </c>
      <c r="P95" s="123">
        <v>117140.92000000001</v>
      </c>
      <c r="Q95" s="121">
        <v>107455.14</v>
      </c>
      <c r="R95" s="122">
        <v>108169.62</v>
      </c>
      <c r="S95" s="136">
        <v>119017.08000000002</v>
      </c>
      <c r="T95" s="137">
        <v>109190.51000000001</v>
      </c>
      <c r="U95" s="121">
        <v>90418.12</v>
      </c>
      <c r="V95" s="122">
        <v>92018.290000000008</v>
      </c>
      <c r="W95" s="122">
        <v>98462.78</v>
      </c>
      <c r="X95" s="123">
        <v>101713.43000000001</v>
      </c>
      <c r="Y95" s="121">
        <v>92923.09</v>
      </c>
      <c r="Z95" s="122">
        <v>96228.86</v>
      </c>
      <c r="AA95" s="122">
        <v>99764.6</v>
      </c>
      <c r="AB95" s="123">
        <v>104683.93000000001</v>
      </c>
      <c r="AC95" s="122">
        <v>105261.39</v>
      </c>
      <c r="AD95" s="122">
        <v>97046.3</v>
      </c>
      <c r="AE95" s="122">
        <v>112809.84</v>
      </c>
      <c r="AF95" s="122">
        <v>118258.79000000001</v>
      </c>
      <c r="AG95" s="568"/>
      <c r="AH95" s="121">
        <f t="shared" si="11"/>
        <v>339058.85</v>
      </c>
      <c r="AI95" s="122">
        <f t="shared" si="12"/>
        <v>328334.37</v>
      </c>
      <c r="AJ95" s="122">
        <f t="shared" si="13"/>
        <v>384015.06000000006</v>
      </c>
      <c r="AK95" s="122">
        <f t="shared" si="14"/>
        <v>443832.35000000003</v>
      </c>
      <c r="AL95" s="122">
        <f t="shared" si="15"/>
        <v>382612.62</v>
      </c>
      <c r="AM95" s="122">
        <f t="shared" si="16"/>
        <v>393600.48000000004</v>
      </c>
      <c r="AN95" s="123">
        <f t="shared" si="17"/>
        <v>433376.32000000007</v>
      </c>
      <c r="AO95" s="568"/>
      <c r="AP95" s="568"/>
      <c r="AQ95" s="568"/>
      <c r="AR95" s="568"/>
      <c r="AS95" s="568"/>
      <c r="AT95" s="568"/>
      <c r="AU95" s="568"/>
      <c r="AV95" s="568"/>
      <c r="AW95" s="568"/>
      <c r="AX95" s="568"/>
      <c r="AY95" s="568"/>
      <c r="AZ95" s="568"/>
      <c r="BA95" s="568"/>
      <c r="BB95" s="568"/>
      <c r="BC95" s="568"/>
      <c r="BD95" s="568"/>
      <c r="BE95" s="568"/>
      <c r="BF95" s="568"/>
      <c r="BG95" s="568"/>
      <c r="BH95" s="568"/>
      <c r="BI95" s="568"/>
      <c r="BJ95" s="568"/>
      <c r="BK95" s="568"/>
      <c r="BL95" s="568"/>
      <c r="BM95" s="568"/>
      <c r="BN95" s="568"/>
      <c r="BO95" s="568"/>
      <c r="BP95" s="568"/>
      <c r="BQ95" s="568"/>
      <c r="BR95" s="568"/>
      <c r="BS95" s="568"/>
      <c r="BT95" s="568"/>
      <c r="BU95" s="568"/>
      <c r="BV95" s="568"/>
      <c r="BW95" s="568"/>
      <c r="BX95" s="568"/>
    </row>
    <row r="96" spans="1:76" x14ac:dyDescent="0.25">
      <c r="A96" s="568"/>
      <c r="B96" s="637" t="s">
        <v>195</v>
      </c>
      <c r="C96" s="915"/>
      <c r="D96" s="916"/>
      <c r="E96" s="121">
        <v>67526.55</v>
      </c>
      <c r="F96" s="122">
        <v>82206.929999999993</v>
      </c>
      <c r="G96" s="122">
        <v>78138.06</v>
      </c>
      <c r="H96" s="123">
        <v>92699.23000000001</v>
      </c>
      <c r="I96" s="121">
        <v>75170.03</v>
      </c>
      <c r="J96" s="122">
        <v>73632.78</v>
      </c>
      <c r="K96" s="122">
        <v>79237.47</v>
      </c>
      <c r="L96" s="123">
        <v>93909.790000000008</v>
      </c>
      <c r="M96" s="121">
        <v>89047.4</v>
      </c>
      <c r="N96" s="122">
        <v>102462.23000000001</v>
      </c>
      <c r="O96" s="122">
        <v>101723.44</v>
      </c>
      <c r="P96" s="123">
        <v>119602.34000000001</v>
      </c>
      <c r="Q96" s="121">
        <v>105625.78</v>
      </c>
      <c r="R96" s="122">
        <v>105893.84</v>
      </c>
      <c r="S96" s="136">
        <v>109194.8</v>
      </c>
      <c r="T96" s="137">
        <v>107282.76000000001</v>
      </c>
      <c r="U96" s="121">
        <v>96588.44</v>
      </c>
      <c r="V96" s="122">
        <v>95171.959999999992</v>
      </c>
      <c r="W96" s="122">
        <v>102625.12</v>
      </c>
      <c r="X96" s="123">
        <v>108485.13</v>
      </c>
      <c r="Y96" s="121">
        <v>100050.98999999999</v>
      </c>
      <c r="Z96" s="122">
        <v>95654.65</v>
      </c>
      <c r="AA96" s="122">
        <v>100263.15</v>
      </c>
      <c r="AB96" s="123">
        <v>111577.18000000001</v>
      </c>
      <c r="AC96" s="122">
        <v>107335.41</v>
      </c>
      <c r="AD96" s="122">
        <v>98727.72</v>
      </c>
      <c r="AE96" s="122">
        <v>114803.78</v>
      </c>
      <c r="AF96" s="122">
        <v>125500.05000000002</v>
      </c>
      <c r="AG96" s="568"/>
      <c r="AH96" s="121">
        <f t="shared" si="11"/>
        <v>320570.77</v>
      </c>
      <c r="AI96" s="122">
        <f t="shared" si="12"/>
        <v>321950.07</v>
      </c>
      <c r="AJ96" s="122">
        <f t="shared" si="13"/>
        <v>412835.41000000003</v>
      </c>
      <c r="AK96" s="122">
        <f t="shared" si="14"/>
        <v>427997.18</v>
      </c>
      <c r="AL96" s="122">
        <f t="shared" si="15"/>
        <v>402870.65</v>
      </c>
      <c r="AM96" s="122">
        <f t="shared" si="16"/>
        <v>407545.97</v>
      </c>
      <c r="AN96" s="123">
        <f t="shared" si="17"/>
        <v>446366.96000000008</v>
      </c>
      <c r="AO96" s="568"/>
      <c r="AP96" s="568"/>
      <c r="AQ96" s="568"/>
      <c r="AR96" s="568"/>
      <c r="AS96" s="568"/>
      <c r="AT96" s="568"/>
      <c r="AU96" s="568"/>
      <c r="AV96" s="568"/>
      <c r="AW96" s="568"/>
      <c r="AX96" s="568"/>
      <c r="AY96" s="568"/>
      <c r="AZ96" s="568"/>
      <c r="BA96" s="568"/>
      <c r="BB96" s="568"/>
      <c r="BC96" s="568"/>
      <c r="BD96" s="568"/>
      <c r="BE96" s="568"/>
      <c r="BF96" s="568"/>
      <c r="BG96" s="568"/>
      <c r="BH96" s="568"/>
      <c r="BI96" s="568"/>
      <c r="BJ96" s="568"/>
      <c r="BK96" s="568"/>
      <c r="BL96" s="568"/>
      <c r="BM96" s="568"/>
      <c r="BN96" s="568"/>
      <c r="BO96" s="568"/>
      <c r="BP96" s="568"/>
      <c r="BQ96" s="568"/>
      <c r="BR96" s="568"/>
      <c r="BS96" s="568"/>
      <c r="BT96" s="568"/>
      <c r="BU96" s="568"/>
      <c r="BV96" s="568"/>
      <c r="BW96" s="568"/>
      <c r="BX96" s="568"/>
    </row>
    <row r="97" spans="1:76" x14ac:dyDescent="0.25">
      <c r="A97" s="568"/>
      <c r="B97" s="638" t="s">
        <v>247</v>
      </c>
      <c r="C97" s="917" t="s">
        <v>276</v>
      </c>
      <c r="D97" s="918"/>
      <c r="E97" s="124">
        <v>82700.929999999993</v>
      </c>
      <c r="F97" s="125">
        <v>93594.8</v>
      </c>
      <c r="G97" s="125">
        <v>89783.720000000016</v>
      </c>
      <c r="H97" s="126">
        <v>89994.71</v>
      </c>
      <c r="I97" s="124">
        <v>81959.41</v>
      </c>
      <c r="J97" s="125">
        <v>88863.71</v>
      </c>
      <c r="K97" s="125">
        <v>80436.850000000006</v>
      </c>
      <c r="L97" s="126">
        <v>89241.099999999991</v>
      </c>
      <c r="M97" s="124">
        <v>85137.65</v>
      </c>
      <c r="N97" s="125">
        <v>95702.62000000001</v>
      </c>
      <c r="O97" s="125">
        <v>87029.02</v>
      </c>
      <c r="P97" s="126">
        <v>95987.45</v>
      </c>
      <c r="Q97" s="124">
        <v>83115.89</v>
      </c>
      <c r="R97" s="125">
        <v>83282.940000000017</v>
      </c>
      <c r="S97" s="138">
        <v>85838.35000000002</v>
      </c>
      <c r="T97" s="139">
        <v>108897.75</v>
      </c>
      <c r="U97" s="124">
        <v>98964.32</v>
      </c>
      <c r="V97" s="125">
        <v>92383.33</v>
      </c>
      <c r="W97" s="125">
        <v>92740.05</v>
      </c>
      <c r="X97" s="126">
        <v>106263.56</v>
      </c>
      <c r="Y97" s="124">
        <v>100799.01</v>
      </c>
      <c r="Z97" s="125">
        <v>99076.640000000014</v>
      </c>
      <c r="AA97" s="125">
        <v>99594.559999999998</v>
      </c>
      <c r="AB97" s="126">
        <v>105731.73000000003</v>
      </c>
      <c r="AC97" s="125">
        <v>85778.81</v>
      </c>
      <c r="AD97" s="125">
        <v>70716.88</v>
      </c>
      <c r="AE97" s="125">
        <v>84267.69</v>
      </c>
      <c r="AF97" s="125">
        <v>82543.63</v>
      </c>
      <c r="AG97" s="568"/>
      <c r="AH97" s="124">
        <f t="shared" si="11"/>
        <v>356074.16000000003</v>
      </c>
      <c r="AI97" s="125">
        <f t="shared" si="12"/>
        <v>340501.07</v>
      </c>
      <c r="AJ97" s="125">
        <f t="shared" si="13"/>
        <v>363856.74000000005</v>
      </c>
      <c r="AK97" s="125">
        <f t="shared" si="14"/>
        <v>361134.93000000005</v>
      </c>
      <c r="AL97" s="125">
        <f t="shared" si="15"/>
        <v>390351.26</v>
      </c>
      <c r="AM97" s="125">
        <f t="shared" si="16"/>
        <v>405201.94000000006</v>
      </c>
      <c r="AN97" s="126">
        <f t="shared" si="17"/>
        <v>323307.01</v>
      </c>
      <c r="AO97" s="568"/>
      <c r="AP97" s="568"/>
      <c r="AQ97" s="568"/>
      <c r="AR97" s="568"/>
      <c r="AS97" s="568"/>
      <c r="AT97" s="568"/>
      <c r="AU97" s="568"/>
      <c r="AV97" s="568"/>
      <c r="AW97" s="568"/>
      <c r="AX97" s="568"/>
      <c r="AY97" s="568"/>
      <c r="AZ97" s="568"/>
      <c r="BA97" s="568"/>
      <c r="BB97" s="568"/>
      <c r="BC97" s="568"/>
      <c r="BD97" s="568"/>
      <c r="BE97" s="568"/>
      <c r="BF97" s="568"/>
      <c r="BG97" s="568"/>
      <c r="BH97" s="568"/>
      <c r="BI97" s="568"/>
      <c r="BJ97" s="568"/>
      <c r="BK97" s="568"/>
      <c r="BL97" s="568"/>
      <c r="BM97" s="568"/>
      <c r="BN97" s="568"/>
      <c r="BO97" s="568"/>
      <c r="BP97" s="568"/>
      <c r="BQ97" s="568"/>
      <c r="BR97" s="568"/>
      <c r="BS97" s="568"/>
      <c r="BT97" s="568"/>
      <c r="BU97" s="568"/>
      <c r="BV97" s="568"/>
      <c r="BW97" s="568"/>
      <c r="BX97" s="568"/>
    </row>
    <row r="98" spans="1:76" x14ac:dyDescent="0.25">
      <c r="A98" s="568"/>
      <c r="B98" s="638" t="s">
        <v>188</v>
      </c>
      <c r="C98" s="919"/>
      <c r="D98" s="920"/>
      <c r="E98" s="124">
        <v>58972.03</v>
      </c>
      <c r="F98" s="125">
        <v>63021.53</v>
      </c>
      <c r="G98" s="125">
        <v>64247.430000000008</v>
      </c>
      <c r="H98" s="126">
        <v>66533.740000000005</v>
      </c>
      <c r="I98" s="124">
        <v>57612.36</v>
      </c>
      <c r="J98" s="125">
        <v>58792.89</v>
      </c>
      <c r="K98" s="125">
        <v>57256.68</v>
      </c>
      <c r="L98" s="126">
        <v>63125.4</v>
      </c>
      <c r="M98" s="124">
        <v>57487.69</v>
      </c>
      <c r="N98" s="125">
        <v>64496.770000000004</v>
      </c>
      <c r="O98" s="125">
        <v>60903.180000000008</v>
      </c>
      <c r="P98" s="126">
        <v>68021.98</v>
      </c>
      <c r="Q98" s="124">
        <v>59399.47</v>
      </c>
      <c r="R98" s="125">
        <v>59082.140000000007</v>
      </c>
      <c r="S98" s="138">
        <v>62150.790000000008</v>
      </c>
      <c r="T98" s="139">
        <v>81265.47</v>
      </c>
      <c r="U98" s="124">
        <v>64184.250000000007</v>
      </c>
      <c r="V98" s="125">
        <v>64826.32</v>
      </c>
      <c r="W98" s="125">
        <v>65610.740000000005</v>
      </c>
      <c r="X98" s="126">
        <v>76214.97</v>
      </c>
      <c r="Y98" s="124">
        <v>71313.58</v>
      </c>
      <c r="Z98" s="125">
        <v>69300.66</v>
      </c>
      <c r="AA98" s="125">
        <v>69609.67</v>
      </c>
      <c r="AB98" s="126">
        <v>79068.860000000015</v>
      </c>
      <c r="AC98" s="125">
        <v>60285.810000000005</v>
      </c>
      <c r="AD98" s="125">
        <v>45494.93</v>
      </c>
      <c r="AE98" s="125">
        <v>59014.54</v>
      </c>
      <c r="AF98" s="125">
        <v>57973.24</v>
      </c>
      <c r="AG98" s="568"/>
      <c r="AH98" s="124">
        <f t="shared" si="11"/>
        <v>252774.72999999998</v>
      </c>
      <c r="AI98" s="125">
        <f t="shared" si="12"/>
        <v>236787.33</v>
      </c>
      <c r="AJ98" s="125">
        <f t="shared" si="13"/>
        <v>250909.62</v>
      </c>
      <c r="AK98" s="125">
        <f t="shared" si="14"/>
        <v>261897.87000000002</v>
      </c>
      <c r="AL98" s="125">
        <f t="shared" si="15"/>
        <v>270836.28000000003</v>
      </c>
      <c r="AM98" s="125">
        <f t="shared" si="16"/>
        <v>289292.77</v>
      </c>
      <c r="AN98" s="126">
        <f t="shared" si="17"/>
        <v>222768.52</v>
      </c>
      <c r="AO98" s="568"/>
      <c r="AP98" s="568"/>
      <c r="AQ98" s="568"/>
      <c r="AR98" s="568"/>
      <c r="AS98" s="568"/>
      <c r="AT98" s="568"/>
      <c r="AU98" s="568"/>
      <c r="AV98" s="568"/>
      <c r="AW98" s="568"/>
      <c r="AX98" s="568"/>
      <c r="AY98" s="568"/>
      <c r="AZ98" s="568"/>
      <c r="BA98" s="568"/>
      <c r="BB98" s="568"/>
      <c r="BC98" s="568"/>
      <c r="BD98" s="568"/>
      <c r="BE98" s="568"/>
      <c r="BF98" s="568"/>
      <c r="BG98" s="568"/>
      <c r="BH98" s="568"/>
      <c r="BI98" s="568"/>
      <c r="BJ98" s="568"/>
      <c r="BK98" s="568"/>
      <c r="BL98" s="568"/>
      <c r="BM98" s="568"/>
      <c r="BN98" s="568"/>
      <c r="BO98" s="568"/>
      <c r="BP98" s="568"/>
      <c r="BQ98" s="568"/>
      <c r="BR98" s="568"/>
      <c r="BS98" s="568"/>
      <c r="BT98" s="568"/>
      <c r="BU98" s="568"/>
      <c r="BV98" s="568"/>
      <c r="BW98" s="568"/>
      <c r="BX98" s="568"/>
    </row>
    <row r="99" spans="1:76" x14ac:dyDescent="0.25">
      <c r="A99" s="568"/>
      <c r="B99" s="638" t="s">
        <v>189</v>
      </c>
      <c r="C99" s="919"/>
      <c r="D99" s="920"/>
      <c r="E99" s="124">
        <v>23728.9</v>
      </c>
      <c r="F99" s="125">
        <v>30573.27</v>
      </c>
      <c r="G99" s="125">
        <v>25536.29</v>
      </c>
      <c r="H99" s="126">
        <v>23460.97</v>
      </c>
      <c r="I99" s="124">
        <v>24347.050000000003</v>
      </c>
      <c r="J99" s="125">
        <v>30070.82</v>
      </c>
      <c r="K99" s="125">
        <v>23180.170000000002</v>
      </c>
      <c r="L99" s="126">
        <v>26115.700000000004</v>
      </c>
      <c r="M99" s="124">
        <v>27649.96</v>
      </c>
      <c r="N99" s="125">
        <v>31205.850000000002</v>
      </c>
      <c r="O99" s="125">
        <v>26125.840000000004</v>
      </c>
      <c r="P99" s="126">
        <v>27965.47</v>
      </c>
      <c r="Q99" s="124">
        <v>23716.420000000002</v>
      </c>
      <c r="R99" s="125">
        <v>24200.799999999999</v>
      </c>
      <c r="S99" s="138">
        <v>23687.56</v>
      </c>
      <c r="T99" s="139">
        <v>27632.28</v>
      </c>
      <c r="U99" s="124">
        <v>34780.07</v>
      </c>
      <c r="V99" s="125">
        <v>27557.01</v>
      </c>
      <c r="W99" s="125">
        <v>27129.31</v>
      </c>
      <c r="X99" s="126">
        <v>30048.59</v>
      </c>
      <c r="Y99" s="124">
        <v>29485.430000000004</v>
      </c>
      <c r="Z99" s="125">
        <v>29775.98</v>
      </c>
      <c r="AA99" s="125">
        <v>29984.890000000003</v>
      </c>
      <c r="AB99" s="126">
        <v>26662.870000000003</v>
      </c>
      <c r="AC99" s="125">
        <v>25493</v>
      </c>
      <c r="AD99" s="125">
        <v>25221.95</v>
      </c>
      <c r="AE99" s="125">
        <v>25253.15</v>
      </c>
      <c r="AF99" s="125">
        <v>24570.39</v>
      </c>
      <c r="AG99" s="568"/>
      <c r="AH99" s="124">
        <f t="shared" si="11"/>
        <v>103299.43</v>
      </c>
      <c r="AI99" s="125">
        <f t="shared" si="12"/>
        <v>103713.74000000002</v>
      </c>
      <c r="AJ99" s="125">
        <f t="shared" si="13"/>
        <v>112947.12</v>
      </c>
      <c r="AK99" s="125">
        <f t="shared" si="14"/>
        <v>99237.06</v>
      </c>
      <c r="AL99" s="125">
        <f t="shared" si="15"/>
        <v>119514.98</v>
      </c>
      <c r="AM99" s="125">
        <f t="shared" si="16"/>
        <v>115909.17000000001</v>
      </c>
      <c r="AN99" s="126">
        <f t="shared" si="17"/>
        <v>100538.49</v>
      </c>
      <c r="AO99" s="568"/>
      <c r="AP99" s="568"/>
      <c r="AQ99" s="568"/>
      <c r="AR99" s="568"/>
      <c r="AS99" s="568"/>
      <c r="AT99" s="568"/>
      <c r="AU99" s="568"/>
      <c r="AV99" s="568"/>
      <c r="AW99" s="568"/>
      <c r="AX99" s="568"/>
      <c r="AY99" s="568"/>
      <c r="AZ99" s="568"/>
      <c r="BA99" s="568"/>
      <c r="BB99" s="568"/>
      <c r="BC99" s="568"/>
      <c r="BD99" s="568"/>
      <c r="BE99" s="568"/>
      <c r="BF99" s="568"/>
      <c r="BG99" s="568"/>
      <c r="BH99" s="568"/>
      <c r="BI99" s="568"/>
      <c r="BJ99" s="568"/>
      <c r="BK99" s="568"/>
      <c r="BL99" s="568"/>
      <c r="BM99" s="568"/>
      <c r="BN99" s="568"/>
      <c r="BO99" s="568"/>
      <c r="BP99" s="568"/>
      <c r="BQ99" s="568"/>
      <c r="BR99" s="568"/>
      <c r="BS99" s="568"/>
      <c r="BT99" s="568"/>
      <c r="BU99" s="568"/>
      <c r="BV99" s="568"/>
      <c r="BW99" s="568"/>
      <c r="BX99" s="568"/>
    </row>
    <row r="100" spans="1:76" ht="15.75" thickBot="1" x14ac:dyDescent="0.3">
      <c r="A100" s="568"/>
      <c r="B100" s="639" t="s">
        <v>195</v>
      </c>
      <c r="C100" s="921"/>
      <c r="D100" s="922"/>
      <c r="E100" s="130">
        <v>64930.97</v>
      </c>
      <c r="F100" s="131">
        <v>74782.89</v>
      </c>
      <c r="G100" s="131">
        <v>74533.55</v>
      </c>
      <c r="H100" s="132">
        <v>72927.53</v>
      </c>
      <c r="I100" s="130">
        <v>68600.479999999996</v>
      </c>
      <c r="J100" s="131">
        <v>77577.760000000009</v>
      </c>
      <c r="K100" s="131">
        <v>69124.25</v>
      </c>
      <c r="L100" s="132">
        <v>75675.47</v>
      </c>
      <c r="M100" s="130">
        <v>71914.44</v>
      </c>
      <c r="N100" s="131">
        <v>83244.2</v>
      </c>
      <c r="O100" s="131">
        <v>74634.820000000007</v>
      </c>
      <c r="P100" s="132">
        <v>79137.63</v>
      </c>
      <c r="Q100" s="130">
        <v>70490.680000000008</v>
      </c>
      <c r="R100" s="131">
        <v>72607.47</v>
      </c>
      <c r="S100" s="140">
        <v>73320.390000000014</v>
      </c>
      <c r="T100" s="141">
        <v>90669.67</v>
      </c>
      <c r="U100" s="130">
        <v>78448.37000000001</v>
      </c>
      <c r="V100" s="131">
        <v>79062.490000000005</v>
      </c>
      <c r="W100" s="131">
        <v>78181.350000000006</v>
      </c>
      <c r="X100" s="132">
        <v>87871.03</v>
      </c>
      <c r="Y100" s="130">
        <v>84306.430000000008</v>
      </c>
      <c r="Z100" s="131">
        <v>84737.510000000009</v>
      </c>
      <c r="AA100" s="131">
        <v>83868.850000000006</v>
      </c>
      <c r="AB100" s="132">
        <v>83536.05</v>
      </c>
      <c r="AC100" s="131">
        <v>67833.09</v>
      </c>
      <c r="AD100" s="131">
        <v>58698.770000000004</v>
      </c>
      <c r="AE100" s="131">
        <v>69982.77</v>
      </c>
      <c r="AF100" s="131">
        <v>67467.27</v>
      </c>
      <c r="AG100" s="568"/>
      <c r="AH100" s="130">
        <f t="shared" si="11"/>
        <v>287174.93999999994</v>
      </c>
      <c r="AI100" s="131">
        <f t="shared" si="12"/>
        <v>290977.95999999996</v>
      </c>
      <c r="AJ100" s="131">
        <f t="shared" si="13"/>
        <v>308931.09000000003</v>
      </c>
      <c r="AK100" s="131">
        <f t="shared" si="14"/>
        <v>307088.21000000002</v>
      </c>
      <c r="AL100" s="131">
        <f t="shared" si="15"/>
        <v>323563.24</v>
      </c>
      <c r="AM100" s="131">
        <f t="shared" si="16"/>
        <v>336448.84</v>
      </c>
      <c r="AN100" s="126">
        <f t="shared" si="17"/>
        <v>263981.90000000002</v>
      </c>
      <c r="AO100" s="568"/>
      <c r="AP100" s="568"/>
      <c r="AQ100" s="568"/>
      <c r="AR100" s="568"/>
      <c r="AS100" s="568"/>
      <c r="AT100" s="568"/>
      <c r="AU100" s="568"/>
      <c r="AV100" s="568"/>
      <c r="AW100" s="568"/>
      <c r="AX100" s="568"/>
      <c r="AY100" s="568"/>
      <c r="AZ100" s="568"/>
      <c r="BA100" s="568"/>
      <c r="BB100" s="568"/>
      <c r="BC100" s="568"/>
      <c r="BD100" s="568"/>
      <c r="BE100" s="568"/>
      <c r="BF100" s="568"/>
      <c r="BG100" s="568"/>
      <c r="BH100" s="568"/>
      <c r="BI100" s="568"/>
      <c r="BJ100" s="568"/>
      <c r="BK100" s="568"/>
      <c r="BL100" s="568"/>
      <c r="BM100" s="568"/>
      <c r="BN100" s="568"/>
      <c r="BO100" s="568"/>
      <c r="BP100" s="568"/>
      <c r="BQ100" s="568"/>
      <c r="BR100" s="568"/>
      <c r="BS100" s="568"/>
      <c r="BT100" s="568"/>
      <c r="BU100" s="568"/>
      <c r="BV100" s="568"/>
      <c r="BW100" s="568"/>
      <c r="BX100" s="568"/>
    </row>
    <row r="101" spans="1:76" x14ac:dyDescent="0.25">
      <c r="A101" s="568"/>
      <c r="B101" s="568"/>
      <c r="C101" s="568"/>
      <c r="D101" s="568"/>
      <c r="E101" s="568"/>
      <c r="F101" s="568"/>
      <c r="G101" s="568"/>
      <c r="H101" s="568"/>
      <c r="I101" s="568"/>
      <c r="J101" s="568"/>
      <c r="K101" s="568"/>
      <c r="L101" s="610"/>
      <c r="M101" s="610"/>
      <c r="N101" s="610"/>
      <c r="O101" s="610"/>
      <c r="P101" s="610"/>
      <c r="Q101" s="610"/>
      <c r="R101" s="568"/>
      <c r="S101" s="568"/>
      <c r="T101" s="568"/>
      <c r="U101" s="568"/>
      <c r="V101" s="568"/>
      <c r="W101" s="568"/>
      <c r="X101" s="568"/>
      <c r="Y101" s="568"/>
      <c r="Z101" s="568"/>
      <c r="AA101" s="568"/>
      <c r="AB101" s="568"/>
      <c r="AC101" s="568"/>
      <c r="AD101" s="568"/>
      <c r="AE101" s="568"/>
      <c r="AF101" s="568"/>
      <c r="AG101" s="568"/>
      <c r="AH101" s="568"/>
      <c r="AI101" s="568"/>
      <c r="AJ101" s="568"/>
      <c r="AK101" s="568"/>
      <c r="AL101" s="568"/>
      <c r="AM101" s="568"/>
      <c r="AN101" s="568"/>
      <c r="AO101" s="568"/>
      <c r="AP101" s="568"/>
      <c r="AQ101" s="568"/>
      <c r="AR101" s="568"/>
      <c r="AS101" s="568"/>
      <c r="AT101" s="568"/>
      <c r="AU101" s="568"/>
      <c r="AV101" s="568"/>
      <c r="AW101" s="568"/>
      <c r="AX101" s="568"/>
      <c r="AY101" s="568"/>
      <c r="AZ101" s="568"/>
      <c r="BA101" s="568"/>
      <c r="BB101" s="568"/>
      <c r="BC101" s="568"/>
      <c r="BD101" s="568"/>
      <c r="BE101" s="568"/>
      <c r="BF101" s="568"/>
      <c r="BG101" s="568"/>
      <c r="BH101" s="568"/>
      <c r="BI101" s="568"/>
      <c r="BJ101" s="568"/>
      <c r="BK101" s="568"/>
      <c r="BL101" s="568"/>
      <c r="BM101" s="568"/>
      <c r="BN101" s="568"/>
      <c r="BO101" s="568"/>
      <c r="BP101" s="568"/>
      <c r="BQ101" s="568"/>
      <c r="BR101" s="568"/>
      <c r="BS101" s="568"/>
      <c r="BT101" s="568"/>
      <c r="BU101" s="568"/>
      <c r="BV101" s="568"/>
      <c r="BW101" s="568"/>
      <c r="BX101" s="568"/>
    </row>
    <row r="102" spans="1:76" s="8" customFormat="1" x14ac:dyDescent="0.25">
      <c r="A102" s="568"/>
      <c r="B102" s="640" t="s">
        <v>190</v>
      </c>
      <c r="C102" s="568"/>
      <c r="D102" s="568"/>
      <c r="E102" s="568"/>
      <c r="F102" s="568"/>
      <c r="G102" s="568"/>
      <c r="H102" s="568"/>
      <c r="I102" s="568"/>
      <c r="J102" s="568"/>
      <c r="K102" s="568"/>
      <c r="L102" s="610"/>
      <c r="M102" s="610"/>
      <c r="N102" s="610"/>
      <c r="O102" s="610"/>
      <c r="P102" s="610"/>
      <c r="Q102" s="610"/>
      <c r="R102" s="568"/>
      <c r="S102" s="568"/>
      <c r="T102" s="568"/>
      <c r="U102" s="568"/>
      <c r="V102" s="568"/>
      <c r="W102" s="568"/>
      <c r="X102" s="568"/>
      <c r="Y102" s="568"/>
      <c r="Z102" s="568"/>
      <c r="AA102" s="568"/>
      <c r="AB102" s="568"/>
      <c r="AC102" s="568"/>
      <c r="AD102" s="568"/>
      <c r="AE102" s="568"/>
      <c r="AF102" s="568"/>
      <c r="AG102" s="568"/>
      <c r="AH102" s="568"/>
      <c r="AI102" s="634"/>
      <c r="AJ102" s="634"/>
      <c r="AK102" s="634"/>
      <c r="AL102" s="634"/>
      <c r="AM102" s="634"/>
      <c r="AN102" s="634"/>
      <c r="AO102" s="634"/>
      <c r="AP102" s="568"/>
      <c r="AQ102" s="568"/>
      <c r="AR102" s="568"/>
      <c r="AS102" s="568"/>
      <c r="AT102" s="568"/>
      <c r="AU102" s="568"/>
      <c r="AV102" s="568"/>
      <c r="AW102" s="568"/>
      <c r="AX102" s="568"/>
      <c r="AY102" s="568"/>
      <c r="AZ102" s="568"/>
      <c r="BA102" s="568"/>
      <c r="BB102" s="568"/>
      <c r="BC102" s="568"/>
      <c r="BD102" s="568"/>
      <c r="BE102" s="568"/>
      <c r="BF102" s="568"/>
      <c r="BG102" s="568"/>
      <c r="BH102" s="568"/>
      <c r="BI102" s="568"/>
      <c r="BJ102" s="568"/>
      <c r="BK102" s="568"/>
      <c r="BL102" s="568"/>
      <c r="BM102" s="568"/>
      <c r="BN102" s="568"/>
      <c r="BO102" s="568"/>
      <c r="BP102" s="568"/>
      <c r="BQ102" s="568"/>
      <c r="BR102" s="568"/>
      <c r="BS102" s="568"/>
      <c r="BT102" s="568"/>
      <c r="BU102" s="568"/>
      <c r="BV102" s="568"/>
      <c r="BW102" s="568"/>
      <c r="BX102" s="568"/>
    </row>
    <row r="103" spans="1:76" s="8" customFormat="1" x14ac:dyDescent="0.25">
      <c r="A103" s="568"/>
      <c r="B103" s="640" t="s">
        <v>191</v>
      </c>
      <c r="C103" s="568"/>
      <c r="D103" s="568"/>
      <c r="E103" s="568"/>
      <c r="F103" s="568"/>
      <c r="G103" s="568"/>
      <c r="H103" s="568"/>
      <c r="I103" s="568"/>
      <c r="J103" s="568"/>
      <c r="K103" s="568"/>
      <c r="L103" s="610"/>
      <c r="M103" s="610"/>
      <c r="N103" s="610"/>
      <c r="O103" s="610"/>
      <c r="P103" s="610"/>
      <c r="Q103" s="610"/>
      <c r="R103" s="568"/>
      <c r="S103" s="568"/>
      <c r="T103" s="568"/>
      <c r="U103" s="568"/>
      <c r="V103" s="568"/>
      <c r="W103" s="568"/>
      <c r="X103" s="568"/>
      <c r="Y103" s="568"/>
      <c r="Z103" s="568"/>
      <c r="AA103" s="568"/>
      <c r="AB103" s="568"/>
      <c r="AC103" s="568"/>
      <c r="AD103" s="568"/>
      <c r="AE103" s="568"/>
      <c r="AF103" s="568"/>
      <c r="AG103" s="568"/>
      <c r="AH103" s="568"/>
      <c r="AI103" s="634"/>
      <c r="AJ103" s="634"/>
      <c r="AK103" s="634"/>
      <c r="AL103" s="634"/>
      <c r="AM103" s="634"/>
      <c r="AN103" s="634"/>
      <c r="AO103" s="634"/>
      <c r="AP103" s="568"/>
      <c r="AQ103" s="568"/>
      <c r="AR103" s="568"/>
      <c r="AS103" s="568"/>
      <c r="AT103" s="568"/>
      <c r="AU103" s="568"/>
      <c r="AV103" s="568"/>
      <c r="AW103" s="568"/>
      <c r="AX103" s="568"/>
      <c r="AY103" s="568"/>
      <c r="AZ103" s="568"/>
      <c r="BA103" s="568"/>
      <c r="BB103" s="568"/>
      <c r="BC103" s="568"/>
      <c r="BD103" s="568"/>
      <c r="BE103" s="568"/>
      <c r="BF103" s="568"/>
      <c r="BG103" s="568"/>
      <c r="BH103" s="568"/>
      <c r="BI103" s="568"/>
      <c r="BJ103" s="568"/>
      <c r="BK103" s="568"/>
      <c r="BL103" s="568"/>
      <c r="BM103" s="568"/>
      <c r="BN103" s="568"/>
      <c r="BO103" s="568"/>
      <c r="BP103" s="568"/>
      <c r="BQ103" s="568"/>
      <c r="BR103" s="568"/>
      <c r="BS103" s="568"/>
      <c r="BT103" s="568"/>
      <c r="BU103" s="568"/>
      <c r="BV103" s="568"/>
      <c r="BW103" s="568"/>
      <c r="BX103" s="568"/>
    </row>
    <row r="104" spans="1:76" s="8" customFormat="1" x14ac:dyDescent="0.25">
      <c r="A104" s="568"/>
      <c r="B104" s="980" t="s">
        <v>192</v>
      </c>
      <c r="C104" s="980"/>
      <c r="D104" s="980"/>
      <c r="E104" s="980"/>
      <c r="F104" s="980"/>
      <c r="G104" s="980"/>
      <c r="H104" s="980"/>
      <c r="I104" s="980"/>
      <c r="J104" s="568"/>
      <c r="K104" s="568"/>
      <c r="L104" s="610"/>
      <c r="M104" s="610"/>
      <c r="N104" s="610"/>
      <c r="O104" s="610"/>
      <c r="P104" s="610"/>
      <c r="Q104" s="610"/>
      <c r="R104" s="568"/>
      <c r="S104" s="568"/>
      <c r="T104" s="568"/>
      <c r="U104" s="568"/>
      <c r="V104" s="568"/>
      <c r="W104" s="568"/>
      <c r="X104" s="568"/>
      <c r="Y104" s="568"/>
      <c r="Z104" s="568"/>
      <c r="AA104" s="568"/>
      <c r="AB104" s="568"/>
      <c r="AC104" s="568"/>
      <c r="AD104" s="568"/>
      <c r="AE104" s="568"/>
      <c r="AF104" s="568"/>
      <c r="AG104" s="568"/>
      <c r="AH104" s="568"/>
      <c r="AI104" s="634"/>
      <c r="AJ104" s="634"/>
      <c r="AK104" s="634"/>
      <c r="AL104" s="634"/>
      <c r="AM104" s="634"/>
      <c r="AN104" s="634"/>
      <c r="AO104" s="634"/>
      <c r="AP104" s="568"/>
      <c r="AQ104" s="568"/>
      <c r="AR104" s="568"/>
      <c r="AS104" s="568"/>
      <c r="AT104" s="568"/>
      <c r="AU104" s="568"/>
      <c r="AV104" s="568"/>
      <c r="AW104" s="568"/>
      <c r="AX104" s="568"/>
      <c r="AY104" s="568"/>
      <c r="AZ104" s="568"/>
      <c r="BA104" s="568"/>
      <c r="BB104" s="568"/>
      <c r="BC104" s="568"/>
      <c r="BD104" s="568"/>
      <c r="BE104" s="568"/>
      <c r="BF104" s="568"/>
      <c r="BG104" s="568"/>
      <c r="BH104" s="568"/>
      <c r="BI104" s="568"/>
      <c r="BJ104" s="568"/>
      <c r="BK104" s="568"/>
      <c r="BL104" s="568"/>
      <c r="BM104" s="568"/>
      <c r="BN104" s="568"/>
      <c r="BO104" s="568"/>
      <c r="BP104" s="568"/>
      <c r="BQ104" s="568"/>
      <c r="BR104" s="568"/>
      <c r="BS104" s="568"/>
      <c r="BT104" s="568"/>
      <c r="BU104" s="568"/>
      <c r="BV104" s="568"/>
      <c r="BW104" s="568"/>
      <c r="BX104" s="568"/>
    </row>
    <row r="105" spans="1:76" s="8" customFormat="1" x14ac:dyDescent="0.25">
      <c r="A105" s="568"/>
      <c r="B105" s="980" t="s">
        <v>193</v>
      </c>
      <c r="C105" s="980"/>
      <c r="D105" s="980"/>
      <c r="E105" s="980"/>
      <c r="F105" s="980"/>
      <c r="G105" s="980"/>
      <c r="H105" s="980"/>
      <c r="I105" s="980"/>
      <c r="J105" s="568"/>
      <c r="K105" s="568"/>
      <c r="L105" s="610"/>
      <c r="M105" s="610"/>
      <c r="N105" s="610"/>
      <c r="O105" s="610"/>
      <c r="P105" s="610"/>
      <c r="Q105" s="610"/>
      <c r="R105" s="568"/>
      <c r="S105" s="568"/>
      <c r="T105" s="568"/>
      <c r="U105" s="568"/>
      <c r="V105" s="568"/>
      <c r="W105" s="568"/>
      <c r="X105" s="568"/>
      <c r="Y105" s="568"/>
      <c r="Z105" s="568"/>
      <c r="AA105" s="568"/>
      <c r="AB105" s="568"/>
      <c r="AC105" s="568"/>
      <c r="AD105" s="568"/>
      <c r="AE105" s="568"/>
      <c r="AF105" s="568"/>
      <c r="AG105" s="568"/>
      <c r="AH105" s="568"/>
      <c r="AI105" s="568"/>
      <c r="AJ105" s="568"/>
      <c r="AK105" s="568"/>
      <c r="AL105" s="568"/>
      <c r="AM105" s="568"/>
      <c r="AN105" s="568"/>
      <c r="AO105" s="568"/>
      <c r="AP105" s="568"/>
      <c r="AQ105" s="568"/>
      <c r="AR105" s="568"/>
      <c r="AS105" s="568"/>
      <c r="AT105" s="568"/>
      <c r="AU105" s="568"/>
      <c r="AV105" s="568"/>
      <c r="AW105" s="568"/>
      <c r="AX105" s="568"/>
      <c r="AY105" s="568"/>
      <c r="AZ105" s="568"/>
      <c r="BA105" s="568"/>
      <c r="BB105" s="568"/>
      <c r="BC105" s="568"/>
      <c r="BD105" s="568"/>
      <c r="BE105" s="568"/>
      <c r="BF105" s="568"/>
      <c r="BG105" s="568"/>
      <c r="BH105" s="568"/>
      <c r="BI105" s="568"/>
      <c r="BJ105" s="568"/>
      <c r="BK105" s="568"/>
      <c r="BL105" s="568"/>
      <c r="BM105" s="568"/>
      <c r="BN105" s="568"/>
      <c r="BO105" s="568"/>
      <c r="BP105" s="568"/>
      <c r="BQ105" s="568"/>
      <c r="BR105" s="568"/>
      <c r="BS105" s="568"/>
      <c r="BT105" s="568"/>
      <c r="BU105" s="568"/>
      <c r="BV105" s="568"/>
      <c r="BW105" s="568"/>
      <c r="BX105" s="568"/>
    </row>
    <row r="106" spans="1:76" s="8" customFormat="1" x14ac:dyDescent="0.25">
      <c r="A106" s="568"/>
      <c r="B106" s="641" t="s">
        <v>194</v>
      </c>
      <c r="C106" s="641"/>
      <c r="D106" s="641"/>
      <c r="E106" s="641"/>
      <c r="F106" s="641"/>
      <c r="G106" s="641"/>
      <c r="H106" s="641"/>
      <c r="I106" s="641"/>
      <c r="J106" s="568"/>
      <c r="K106" s="568"/>
      <c r="L106" s="610"/>
      <c r="M106" s="610"/>
      <c r="N106" s="610"/>
      <c r="O106" s="610"/>
      <c r="P106" s="610"/>
      <c r="Q106" s="610"/>
      <c r="R106" s="568"/>
      <c r="S106" s="568"/>
      <c r="T106" s="568"/>
      <c r="U106" s="568"/>
      <c r="V106" s="568"/>
      <c r="W106" s="568"/>
      <c r="X106" s="568"/>
      <c r="Y106" s="568"/>
      <c r="Z106" s="568"/>
      <c r="AA106" s="568"/>
      <c r="AB106" s="568"/>
      <c r="AC106" s="568"/>
      <c r="AD106" s="568"/>
      <c r="AE106" s="568"/>
      <c r="AF106" s="568"/>
      <c r="AG106" s="568"/>
      <c r="AH106" s="568"/>
      <c r="AI106" s="568"/>
      <c r="AJ106" s="568"/>
      <c r="AK106" s="568"/>
      <c r="AL106" s="568"/>
      <c r="AM106" s="568"/>
      <c r="AN106" s="568"/>
      <c r="AO106" s="568"/>
      <c r="AP106" s="568"/>
      <c r="AQ106" s="568"/>
      <c r="AR106" s="568"/>
      <c r="AS106" s="568"/>
      <c r="AT106" s="568"/>
      <c r="AU106" s="568"/>
      <c r="AV106" s="568"/>
      <c r="AW106" s="568"/>
      <c r="AX106" s="568"/>
      <c r="AY106" s="568"/>
      <c r="AZ106" s="568"/>
      <c r="BA106" s="568"/>
      <c r="BB106" s="568"/>
      <c r="BC106" s="568"/>
      <c r="BD106" s="568"/>
      <c r="BE106" s="568"/>
      <c r="BF106" s="568"/>
      <c r="BG106" s="568"/>
      <c r="BH106" s="568"/>
      <c r="BI106" s="568"/>
      <c r="BJ106" s="568"/>
      <c r="BK106" s="568"/>
      <c r="BL106" s="568"/>
      <c r="BM106" s="568"/>
      <c r="BN106" s="568"/>
      <c r="BO106" s="568"/>
      <c r="BP106" s="568"/>
      <c r="BQ106" s="568"/>
      <c r="BR106" s="568"/>
      <c r="BS106" s="568"/>
      <c r="BT106" s="568"/>
      <c r="BU106" s="568"/>
      <c r="BV106" s="568"/>
      <c r="BW106" s="568"/>
      <c r="BX106" s="568"/>
    </row>
    <row r="107" spans="1:76" s="8" customFormat="1" x14ac:dyDescent="0.25">
      <c r="H107" s="568"/>
      <c r="I107" s="568"/>
      <c r="J107" s="568"/>
      <c r="K107" s="568"/>
      <c r="L107" s="610"/>
      <c r="M107" s="610"/>
      <c r="N107" s="610"/>
      <c r="O107" s="610"/>
      <c r="P107" s="610"/>
      <c r="Q107" s="610"/>
      <c r="R107" s="568"/>
      <c r="S107" s="568"/>
      <c r="T107" s="568"/>
    </row>
    <row r="108" spans="1:76" s="8" customFormat="1" x14ac:dyDescent="0.25">
      <c r="B108" s="460" t="s">
        <v>225</v>
      </c>
      <c r="C108" s="461"/>
      <c r="D108" s="461"/>
      <c r="H108" s="568"/>
      <c r="I108" s="572"/>
      <c r="J108" s="572"/>
      <c r="K108" s="572"/>
      <c r="L108" s="572"/>
      <c r="M108" s="572"/>
      <c r="N108" s="572"/>
      <c r="O108" s="572"/>
      <c r="P108" s="572"/>
      <c r="Q108" s="572"/>
      <c r="R108" s="572"/>
      <c r="S108" s="568"/>
      <c r="T108" s="568"/>
    </row>
    <row r="109" spans="1:76" s="8" customFormat="1" ht="15.75" thickBot="1" x14ac:dyDescent="0.3">
      <c r="A109" s="248"/>
      <c r="B109" s="249"/>
      <c r="C109" s="247"/>
      <c r="D109" s="247"/>
      <c r="H109" s="568"/>
      <c r="I109" s="572"/>
      <c r="J109" s="572"/>
      <c r="K109" s="572"/>
      <c r="L109" s="572"/>
      <c r="M109" s="572"/>
      <c r="N109" s="572"/>
      <c r="O109" s="572"/>
      <c r="P109" s="572"/>
      <c r="Q109" s="572"/>
      <c r="R109" s="572"/>
      <c r="S109" s="568"/>
      <c r="T109" s="568"/>
    </row>
    <row r="110" spans="1:76" s="8" customFormat="1" ht="15.75" thickBot="1" x14ac:dyDescent="0.3">
      <c r="A110" s="250" t="s">
        <v>75</v>
      </c>
      <c r="B110" s="251" t="s">
        <v>76</v>
      </c>
      <c r="C110" s="251" t="s">
        <v>77</v>
      </c>
      <c r="D110" s="462"/>
      <c r="E110" s="393">
        <v>2014</v>
      </c>
      <c r="F110" s="394">
        <v>2015</v>
      </c>
      <c r="G110" s="394">
        <v>2016</v>
      </c>
      <c r="H110" s="494">
        <v>2017</v>
      </c>
      <c r="I110" s="519">
        <v>2018</v>
      </c>
      <c r="J110" s="655">
        <v>2019</v>
      </c>
      <c r="K110" s="655">
        <v>2020</v>
      </c>
      <c r="L110" s="572"/>
      <c r="M110" s="572"/>
      <c r="N110" s="572"/>
      <c r="O110" s="572"/>
      <c r="P110" s="572"/>
      <c r="Q110" s="572"/>
      <c r="R110" s="572"/>
      <c r="S110" s="568"/>
      <c r="T110" s="568"/>
    </row>
    <row r="111" spans="1:76" s="8" customFormat="1" x14ac:dyDescent="0.25">
      <c r="A111" s="963" t="s">
        <v>222</v>
      </c>
      <c r="B111" s="966" t="s">
        <v>82</v>
      </c>
      <c r="C111" s="969" t="s">
        <v>79</v>
      </c>
      <c r="D111" s="463" t="s">
        <v>152</v>
      </c>
      <c r="E111" s="464"/>
      <c r="F111" s="465"/>
      <c r="G111" s="465"/>
      <c r="H111" s="642">
        <v>841</v>
      </c>
      <c r="I111" s="657">
        <v>3000</v>
      </c>
      <c r="J111" s="643">
        <v>3000</v>
      </c>
      <c r="K111" s="643">
        <v>3000</v>
      </c>
      <c r="L111" s="572"/>
      <c r="M111" s="572"/>
      <c r="N111" s="572"/>
      <c r="O111" s="572"/>
      <c r="P111" s="572"/>
      <c r="Q111" s="572"/>
      <c r="R111" s="572"/>
      <c r="S111" s="568"/>
      <c r="T111" s="568"/>
    </row>
    <row r="112" spans="1:76" s="8" customFormat="1" x14ac:dyDescent="0.25">
      <c r="A112" s="964"/>
      <c r="B112" s="967"/>
      <c r="C112" s="970"/>
      <c r="D112" s="466" t="s">
        <v>88</v>
      </c>
      <c r="E112" s="467"/>
      <c r="F112" s="468"/>
      <c r="G112" s="468"/>
      <c r="H112" s="644">
        <f>E124</f>
        <v>18</v>
      </c>
      <c r="I112" s="667">
        <f>F124+G124+H124+I124</f>
        <v>132</v>
      </c>
      <c r="J112" s="645">
        <v>80</v>
      </c>
      <c r="K112" s="645">
        <v>53</v>
      </c>
      <c r="L112" s="572"/>
      <c r="M112" s="572"/>
      <c r="N112" s="572"/>
      <c r="O112" s="572"/>
      <c r="P112" s="572"/>
      <c r="Q112" s="572"/>
      <c r="R112" s="572"/>
      <c r="S112" s="568"/>
      <c r="T112" s="568"/>
    </row>
    <row r="113" spans="1:20" s="8" customFormat="1" ht="15.75" thickBot="1" x14ac:dyDescent="0.3">
      <c r="A113" s="965"/>
      <c r="B113" s="968"/>
      <c r="C113" s="971"/>
      <c r="D113" s="469" t="s">
        <v>87</v>
      </c>
      <c r="E113" s="470"/>
      <c r="F113" s="471"/>
      <c r="G113" s="471"/>
      <c r="H113" s="646">
        <v>2</v>
      </c>
      <c r="I113" s="668">
        <v>15</v>
      </c>
      <c r="J113" s="369">
        <v>15</v>
      </c>
      <c r="K113" s="369">
        <v>5</v>
      </c>
      <c r="L113" s="572"/>
      <c r="M113" s="572"/>
      <c r="N113" s="572"/>
      <c r="O113" s="572"/>
      <c r="P113" s="572"/>
      <c r="Q113" s="572"/>
      <c r="R113" s="572"/>
      <c r="S113" s="568"/>
      <c r="T113" s="568"/>
    </row>
    <row r="114" spans="1:20" s="8" customFormat="1" x14ac:dyDescent="0.25">
      <c r="A114" s="972" t="s">
        <v>80</v>
      </c>
      <c r="B114" s="975" t="s">
        <v>83</v>
      </c>
      <c r="C114" s="978" t="s">
        <v>85</v>
      </c>
      <c r="D114" s="472" t="s">
        <v>229</v>
      </c>
      <c r="E114" s="473"/>
      <c r="F114" s="353"/>
      <c r="G114" s="353"/>
      <c r="H114" s="647">
        <v>2584</v>
      </c>
      <c r="I114" s="669">
        <v>14440</v>
      </c>
      <c r="J114" s="670">
        <v>19580</v>
      </c>
      <c r="K114" s="670">
        <v>24720</v>
      </c>
      <c r="L114" s="572"/>
      <c r="M114" s="572"/>
      <c r="N114" s="572"/>
      <c r="O114" s="572"/>
      <c r="P114" s="572"/>
      <c r="Q114" s="572"/>
      <c r="R114" s="572"/>
      <c r="S114" s="568"/>
      <c r="T114" s="568"/>
    </row>
    <row r="115" spans="1:20" s="8" customFormat="1" x14ac:dyDescent="0.25">
      <c r="A115" s="973"/>
      <c r="B115" s="976"/>
      <c r="C115" s="979"/>
      <c r="D115" s="474" t="s">
        <v>354</v>
      </c>
      <c r="E115" s="475"/>
      <c r="F115" s="476"/>
      <c r="G115" s="476"/>
      <c r="H115" s="649">
        <v>60</v>
      </c>
      <c r="I115" s="667">
        <v>451</v>
      </c>
      <c r="J115" s="645">
        <v>607</v>
      </c>
      <c r="K115" s="645">
        <v>1110</v>
      </c>
      <c r="L115" s="650"/>
      <c r="M115" s="650"/>
      <c r="N115" s="572"/>
      <c r="O115" s="572"/>
      <c r="P115" s="572"/>
      <c r="Q115" s="572"/>
      <c r="R115" s="572"/>
      <c r="S115" s="568"/>
      <c r="T115" s="568"/>
    </row>
    <row r="116" spans="1:20" s="8" customFormat="1" ht="15.75" thickBot="1" x14ac:dyDescent="0.3">
      <c r="A116" s="974"/>
      <c r="B116" s="977"/>
      <c r="C116" s="979"/>
      <c r="D116" s="477" t="s">
        <v>87</v>
      </c>
      <c r="E116" s="478"/>
      <c r="F116" s="479"/>
      <c r="G116" s="479"/>
      <c r="H116" s="651">
        <f>E127*1.3</f>
        <v>0</v>
      </c>
      <c r="I116" s="659">
        <v>16.447600000000001</v>
      </c>
      <c r="J116" s="659">
        <v>45.814399999999999</v>
      </c>
      <c r="K116" s="645">
        <v>15.228200000000001</v>
      </c>
      <c r="L116" s="572"/>
      <c r="M116" s="572"/>
      <c r="N116" s="572"/>
      <c r="O116" s="572"/>
      <c r="P116" s="572"/>
      <c r="Q116" s="572"/>
      <c r="R116" s="572"/>
      <c r="S116" s="568"/>
      <c r="T116" s="568"/>
    </row>
    <row r="117" spans="1:20" s="8" customFormat="1" x14ac:dyDescent="0.25">
      <c r="A117" s="925" t="s">
        <v>81</v>
      </c>
      <c r="B117" s="940" t="s">
        <v>84</v>
      </c>
      <c r="C117" s="937" t="s">
        <v>85</v>
      </c>
      <c r="D117" s="480" t="s">
        <v>229</v>
      </c>
      <c r="E117" s="354"/>
      <c r="F117" s="355"/>
      <c r="G117" s="355"/>
      <c r="H117" s="652">
        <v>695</v>
      </c>
      <c r="I117" s="657">
        <v>5000</v>
      </c>
      <c r="J117" s="643">
        <v>7500</v>
      </c>
      <c r="K117" s="643">
        <v>10000</v>
      </c>
      <c r="L117" s="572"/>
      <c r="M117" s="572"/>
      <c r="N117" s="572"/>
      <c r="O117" s="572"/>
      <c r="P117" s="572"/>
      <c r="Q117" s="572"/>
      <c r="R117" s="572"/>
      <c r="S117" s="568"/>
      <c r="T117" s="568"/>
    </row>
    <row r="118" spans="1:20" s="8" customFormat="1" x14ac:dyDescent="0.25">
      <c r="A118" s="926"/>
      <c r="B118" s="941"/>
      <c r="C118" s="938"/>
      <c r="D118" s="474" t="s">
        <v>88</v>
      </c>
      <c r="E118" s="475"/>
      <c r="F118" s="476"/>
      <c r="G118" s="476"/>
      <c r="H118" s="649">
        <v>0</v>
      </c>
      <c r="I118" s="667">
        <v>0</v>
      </c>
      <c r="J118" s="645">
        <v>0</v>
      </c>
      <c r="K118" s="645">
        <v>11</v>
      </c>
      <c r="L118" s="572"/>
      <c r="M118" s="572"/>
      <c r="N118" s="572"/>
      <c r="O118" s="572"/>
      <c r="P118" s="572"/>
      <c r="Q118" s="572"/>
      <c r="R118" s="572"/>
      <c r="S118" s="568"/>
      <c r="T118" s="568"/>
    </row>
    <row r="119" spans="1:20" ht="15.75" thickBot="1" x14ac:dyDescent="0.3">
      <c r="A119" s="927"/>
      <c r="B119" s="942"/>
      <c r="C119" s="939"/>
      <c r="D119" s="346" t="s">
        <v>87</v>
      </c>
      <c r="E119" s="385"/>
      <c r="F119" s="352"/>
      <c r="G119" s="352"/>
      <c r="H119" s="517">
        <v>0</v>
      </c>
      <c r="I119" s="668">
        <v>0</v>
      </c>
      <c r="J119" s="369">
        <f>SUM(J129:M129)*1.3</f>
        <v>0</v>
      </c>
      <c r="K119" s="645">
        <v>0</v>
      </c>
      <c r="L119" s="572"/>
      <c r="M119" s="572"/>
      <c r="N119" s="572"/>
      <c r="O119" s="572"/>
      <c r="P119" s="572"/>
      <c r="Q119" s="572"/>
      <c r="R119" s="572"/>
      <c r="S119" s="568"/>
      <c r="T119" s="568"/>
    </row>
    <row r="120" spans="1:20" x14ac:dyDescent="0.25">
      <c r="B120" s="30"/>
      <c r="H120" s="568"/>
      <c r="I120" s="572"/>
      <c r="J120" s="572"/>
      <c r="K120" s="572"/>
      <c r="L120" s="572"/>
      <c r="M120" s="572"/>
      <c r="N120" s="572"/>
      <c r="O120" s="572"/>
      <c r="P120" s="572"/>
      <c r="Q120" s="572"/>
      <c r="R120" s="572"/>
      <c r="S120" s="568"/>
      <c r="T120" s="568"/>
    </row>
    <row r="121" spans="1:20" x14ac:dyDescent="0.25">
      <c r="A121" s="68"/>
      <c r="B121" s="245" t="s">
        <v>213</v>
      </c>
      <c r="C121" s="246"/>
      <c r="D121" s="247"/>
      <c r="E121" s="248"/>
      <c r="F121" s="248"/>
      <c r="G121" s="248"/>
      <c r="H121" s="572"/>
      <c r="I121" s="572"/>
      <c r="J121" s="572"/>
      <c r="K121" s="572"/>
      <c r="L121" s="572"/>
      <c r="M121" s="572"/>
      <c r="N121" s="572"/>
      <c r="O121" s="572"/>
      <c r="P121" s="572"/>
      <c r="Q121" s="572"/>
      <c r="R121" s="572"/>
      <c r="S121" s="568"/>
      <c r="T121" s="568"/>
    </row>
    <row r="122" spans="1:20" ht="15.75" thickBot="1" x14ac:dyDescent="0.3">
      <c r="A122" s="68"/>
      <c r="B122" s="249"/>
      <c r="C122" s="246"/>
      <c r="D122" s="247"/>
      <c r="E122" s="248"/>
      <c r="F122" s="248"/>
      <c r="G122" s="248"/>
      <c r="H122" s="572"/>
      <c r="I122" s="572"/>
      <c r="J122" s="572"/>
      <c r="K122" s="572"/>
      <c r="L122" s="572"/>
      <c r="M122" s="572"/>
      <c r="N122" s="572"/>
      <c r="O122" s="572"/>
      <c r="P122" s="572"/>
      <c r="Q122" s="572"/>
      <c r="R122" s="572"/>
      <c r="S122" s="568"/>
      <c r="T122" s="568"/>
    </row>
    <row r="123" spans="1:20" ht="15.75" thickBot="1" x14ac:dyDescent="0.3">
      <c r="A123" s="250" t="s">
        <v>75</v>
      </c>
      <c r="B123" s="251" t="s">
        <v>76</v>
      </c>
      <c r="C123" s="251" t="s">
        <v>77</v>
      </c>
      <c r="D123" s="264"/>
      <c r="E123" s="253" t="s">
        <v>115</v>
      </c>
      <c r="F123" s="267" t="s">
        <v>214</v>
      </c>
      <c r="G123" s="268" t="s">
        <v>117</v>
      </c>
      <c r="H123" s="519" t="s">
        <v>215</v>
      </c>
      <c r="I123" s="655" t="s">
        <v>216</v>
      </c>
      <c r="J123" s="656" t="s">
        <v>217</v>
      </c>
      <c r="K123" s="519" t="s">
        <v>218</v>
      </c>
      <c r="L123" s="519" t="s">
        <v>219</v>
      </c>
      <c r="M123" s="520" t="s">
        <v>220</v>
      </c>
      <c r="N123" s="656" t="s">
        <v>348</v>
      </c>
      <c r="O123" s="519" t="s">
        <v>349</v>
      </c>
      <c r="P123" s="519" t="s">
        <v>350</v>
      </c>
      <c r="Q123" s="520" t="s">
        <v>351</v>
      </c>
      <c r="R123" s="572"/>
      <c r="S123" s="568"/>
      <c r="T123" s="568"/>
    </row>
    <row r="124" spans="1:20" ht="15.75" thickBot="1" x14ac:dyDescent="0.3">
      <c r="A124" s="907" t="s">
        <v>222</v>
      </c>
      <c r="B124" s="909" t="s">
        <v>82</v>
      </c>
      <c r="C124" s="910" t="s">
        <v>79</v>
      </c>
      <c r="D124" s="265" t="s">
        <v>264</v>
      </c>
      <c r="E124" s="331">
        <v>18</v>
      </c>
      <c r="F124" s="332">
        <v>19</v>
      </c>
      <c r="G124" s="333">
        <v>54</v>
      </c>
      <c r="H124" s="657">
        <v>17</v>
      </c>
      <c r="I124" s="643">
        <v>42</v>
      </c>
      <c r="J124" s="658">
        <v>20</v>
      </c>
      <c r="K124" s="657">
        <v>12</v>
      </c>
      <c r="L124" s="657">
        <v>19</v>
      </c>
      <c r="M124" s="643">
        <v>29</v>
      </c>
      <c r="N124" s="658">
        <v>8</v>
      </c>
      <c r="O124" s="657">
        <v>6</v>
      </c>
      <c r="P124" s="657">
        <v>14</v>
      </c>
      <c r="Q124" s="643">
        <v>25</v>
      </c>
      <c r="R124" s="572"/>
      <c r="S124" s="568"/>
      <c r="T124" s="568"/>
    </row>
    <row r="125" spans="1:20" ht="15.75" thickBot="1" x14ac:dyDescent="0.3">
      <c r="A125" s="908"/>
      <c r="B125" s="909"/>
      <c r="C125" s="910"/>
      <c r="D125" s="266" t="s">
        <v>265</v>
      </c>
      <c r="E125" s="334">
        <v>2</v>
      </c>
      <c r="F125" s="335">
        <v>10</v>
      </c>
      <c r="G125" s="336">
        <v>2</v>
      </c>
      <c r="H125" s="659">
        <v>1</v>
      </c>
      <c r="I125" s="660">
        <v>1</v>
      </c>
      <c r="J125" s="661">
        <v>2</v>
      </c>
      <c r="K125" s="659">
        <v>0.4</v>
      </c>
      <c r="L125" s="659">
        <v>10</v>
      </c>
      <c r="M125" s="660">
        <v>3</v>
      </c>
      <c r="N125" s="661">
        <v>2</v>
      </c>
      <c r="O125" s="659">
        <v>1</v>
      </c>
      <c r="P125" s="659">
        <v>1</v>
      </c>
      <c r="Q125" s="660">
        <v>1</v>
      </c>
      <c r="R125" s="572"/>
      <c r="S125" s="568"/>
      <c r="T125" s="568"/>
    </row>
    <row r="126" spans="1:20" ht="15.75" thickBot="1" x14ac:dyDescent="0.3">
      <c r="A126" s="902" t="s">
        <v>80</v>
      </c>
      <c r="B126" s="900" t="s">
        <v>83</v>
      </c>
      <c r="C126" s="901" t="s">
        <v>262</v>
      </c>
      <c r="D126" s="347" t="s">
        <v>264</v>
      </c>
      <c r="E126" s="388">
        <v>60</v>
      </c>
      <c r="F126" s="354">
        <v>141.5</v>
      </c>
      <c r="G126" s="355">
        <v>121.5</v>
      </c>
      <c r="H126" s="652">
        <v>86</v>
      </c>
      <c r="I126" s="643">
        <v>102</v>
      </c>
      <c r="J126" s="658">
        <v>14</v>
      </c>
      <c r="K126" s="657">
        <v>246.5</v>
      </c>
      <c r="L126" s="657">
        <v>246</v>
      </c>
      <c r="M126" s="643">
        <v>100</v>
      </c>
      <c r="N126" s="658">
        <v>217</v>
      </c>
      <c r="O126" s="658">
        <v>410</v>
      </c>
      <c r="P126" s="658">
        <v>240</v>
      </c>
      <c r="Q126" s="643">
        <v>243</v>
      </c>
      <c r="R126" s="572"/>
      <c r="S126" s="568"/>
      <c r="T126" s="568"/>
    </row>
    <row r="127" spans="1:20" ht="15.75" thickBot="1" x14ac:dyDescent="0.3">
      <c r="A127" s="903" t="s">
        <v>263</v>
      </c>
      <c r="B127" s="900"/>
      <c r="C127" s="901"/>
      <c r="D127" s="348" t="s">
        <v>265</v>
      </c>
      <c r="E127" s="349">
        <v>0</v>
      </c>
      <c r="F127" s="517">
        <v>1.6432</v>
      </c>
      <c r="G127" s="517">
        <v>1.9500000000000002</v>
      </c>
      <c r="H127" s="517">
        <v>7.8000000000000007</v>
      </c>
      <c r="I127" s="668">
        <v>5.0544000000000002</v>
      </c>
      <c r="J127" s="668">
        <v>14.3</v>
      </c>
      <c r="K127" s="668">
        <v>27.5259</v>
      </c>
      <c r="L127" s="668">
        <v>0.84899999999999998</v>
      </c>
      <c r="M127" s="668">
        <v>3.1395</v>
      </c>
      <c r="N127" s="661">
        <v>2.6</v>
      </c>
      <c r="O127" s="668">
        <v>0</v>
      </c>
      <c r="P127" s="668">
        <v>12.628200000000001</v>
      </c>
      <c r="Q127" s="668">
        <v>0</v>
      </c>
      <c r="R127" s="572"/>
      <c r="S127" s="572"/>
      <c r="T127" s="568"/>
    </row>
    <row r="128" spans="1:20" ht="15.75" thickBot="1" x14ac:dyDescent="0.3">
      <c r="A128" s="902" t="s">
        <v>81</v>
      </c>
      <c r="B128" s="900" t="s">
        <v>84</v>
      </c>
      <c r="C128" s="901" t="s">
        <v>262</v>
      </c>
      <c r="D128" s="347" t="s">
        <v>88</v>
      </c>
      <c r="E128" s="389">
        <v>695</v>
      </c>
      <c r="F128" s="353">
        <v>0</v>
      </c>
      <c r="G128" s="353">
        <v>0</v>
      </c>
      <c r="H128" s="647">
        <v>0</v>
      </c>
      <c r="I128" s="648">
        <v>0</v>
      </c>
      <c r="J128" s="647">
        <v>0</v>
      </c>
      <c r="K128" s="647">
        <v>0</v>
      </c>
      <c r="L128" s="647">
        <v>0</v>
      </c>
      <c r="M128" s="648">
        <v>0</v>
      </c>
      <c r="N128" s="662">
        <v>10000</v>
      </c>
      <c r="O128" s="662">
        <v>0</v>
      </c>
      <c r="P128" s="662">
        <v>0</v>
      </c>
      <c r="Q128" s="653">
        <v>0</v>
      </c>
      <c r="R128" s="568"/>
      <c r="S128" s="568"/>
      <c r="T128" s="568"/>
    </row>
    <row r="129" spans="1:20" ht="15.75" thickBot="1" x14ac:dyDescent="0.3">
      <c r="A129" s="903"/>
      <c r="B129" s="900"/>
      <c r="C129" s="901"/>
      <c r="D129" s="348" t="s">
        <v>87</v>
      </c>
      <c r="E129" s="349">
        <v>0</v>
      </c>
      <c r="F129" s="350">
        <v>0</v>
      </c>
      <c r="G129" s="351">
        <v>0</v>
      </c>
      <c r="H129" s="517">
        <v>0</v>
      </c>
      <c r="I129" s="654">
        <v>0</v>
      </c>
      <c r="J129" s="663">
        <v>0</v>
      </c>
      <c r="K129" s="517">
        <v>0</v>
      </c>
      <c r="L129" s="517">
        <v>0</v>
      </c>
      <c r="M129" s="654">
        <v>0</v>
      </c>
      <c r="N129" s="663">
        <v>0</v>
      </c>
      <c r="O129" s="517">
        <v>0</v>
      </c>
      <c r="P129" s="517">
        <v>0</v>
      </c>
      <c r="Q129" s="654">
        <v>0</v>
      </c>
      <c r="R129" s="568"/>
      <c r="S129" s="568"/>
      <c r="T129" s="568"/>
    </row>
    <row r="130" spans="1:20" x14ac:dyDescent="0.25">
      <c r="A130" s="258"/>
      <c r="B130" s="258"/>
      <c r="C130" s="258"/>
      <c r="D130" s="258"/>
      <c r="E130" s="259"/>
      <c r="F130" s="259"/>
      <c r="G130" s="259"/>
      <c r="H130" s="664"/>
      <c r="I130" s="664"/>
      <c r="J130" s="664"/>
      <c r="K130" s="664"/>
      <c r="L130" s="664"/>
      <c r="M130" s="664"/>
      <c r="N130" s="664"/>
      <c r="O130" s="664"/>
      <c r="P130" s="665"/>
      <c r="Q130" s="568"/>
      <c r="R130" s="568"/>
      <c r="S130" s="568"/>
      <c r="T130" s="568"/>
    </row>
    <row r="131" spans="1:20" x14ac:dyDescent="0.25">
      <c r="A131" s="246"/>
      <c r="B131" s="246"/>
      <c r="C131" s="246"/>
      <c r="D131" s="258"/>
      <c r="E131" s="259"/>
      <c r="F131" s="259"/>
      <c r="G131" s="259"/>
      <c r="H131" s="664"/>
      <c r="I131" s="664"/>
      <c r="J131" s="664"/>
      <c r="K131" s="664"/>
      <c r="L131" s="664"/>
      <c r="M131" s="664"/>
      <c r="N131" s="664"/>
      <c r="O131" s="664"/>
      <c r="P131" s="665"/>
      <c r="Q131" s="568"/>
      <c r="R131" s="568"/>
      <c r="S131" s="568"/>
      <c r="T131" s="568"/>
    </row>
    <row r="132" spans="1:20" x14ac:dyDescent="0.25">
      <c r="A132" s="246"/>
      <c r="B132" s="246"/>
      <c r="C132" s="246"/>
      <c r="D132" s="258"/>
      <c r="E132" s="259"/>
      <c r="F132" s="259"/>
      <c r="G132" s="259"/>
      <c r="H132" s="666"/>
      <c r="I132" s="664"/>
      <c r="J132" s="664"/>
      <c r="K132" s="664"/>
      <c r="L132" s="664"/>
      <c r="M132" s="664"/>
      <c r="N132" s="664"/>
      <c r="O132" s="664"/>
      <c r="P132" s="665"/>
      <c r="Q132" s="568"/>
      <c r="R132" s="568"/>
      <c r="S132" s="568"/>
      <c r="T132" s="568"/>
    </row>
    <row r="133" spans="1:20" x14ac:dyDescent="0.25">
      <c r="A133" s="258"/>
      <c r="B133" s="258"/>
      <c r="C133" s="258"/>
      <c r="D133" s="246"/>
      <c r="I133" s="68"/>
      <c r="J133" s="68"/>
      <c r="K133" s="68"/>
      <c r="L133" s="68"/>
      <c r="M133" s="68"/>
    </row>
    <row r="134" spans="1:20" x14ac:dyDescent="0.25">
      <c r="A134" s="246"/>
      <c r="B134" s="246" t="s">
        <v>226</v>
      </c>
      <c r="C134" s="246"/>
      <c r="D134" s="246"/>
      <c r="I134" s="68"/>
      <c r="J134" s="68"/>
      <c r="K134" s="68"/>
      <c r="L134" s="68"/>
      <c r="M134" s="68"/>
    </row>
    <row r="135" spans="1:20" ht="15.75" thickBot="1" x14ac:dyDescent="0.3">
      <c r="A135" s="246"/>
      <c r="B135" s="246"/>
      <c r="C135" s="246"/>
      <c r="D135" s="246"/>
      <c r="I135" s="68"/>
      <c r="J135" s="68"/>
      <c r="K135" s="68"/>
      <c r="L135" s="68"/>
      <c r="M135" s="68"/>
    </row>
    <row r="136" spans="1:20" ht="15.75" thickBot="1" x14ac:dyDescent="0.3">
      <c r="A136" s="386" t="s">
        <v>75</v>
      </c>
      <c r="B136" s="387" t="s">
        <v>76</v>
      </c>
      <c r="C136" s="387" t="s">
        <v>77</v>
      </c>
      <c r="D136" s="260"/>
      <c r="E136" s="51">
        <v>2014</v>
      </c>
      <c r="F136" s="52">
        <v>2015</v>
      </c>
      <c r="G136" s="52">
        <v>2016</v>
      </c>
      <c r="H136" s="52">
        <v>2017</v>
      </c>
      <c r="I136" s="52">
        <v>2018</v>
      </c>
      <c r="J136" s="53">
        <v>2019</v>
      </c>
      <c r="K136" s="671">
        <v>2020</v>
      </c>
    </row>
    <row r="137" spans="1:20" x14ac:dyDescent="0.25">
      <c r="A137" s="925" t="s">
        <v>223</v>
      </c>
      <c r="B137" s="940" t="s">
        <v>86</v>
      </c>
      <c r="C137" s="937" t="s">
        <v>79</v>
      </c>
      <c r="D137" s="261" t="s">
        <v>152</v>
      </c>
      <c r="E137" s="39">
        <v>4160</v>
      </c>
      <c r="F137" s="34">
        <v>4160</v>
      </c>
      <c r="G137" s="34">
        <v>4160</v>
      </c>
      <c r="H137" s="34"/>
      <c r="I137" s="33"/>
      <c r="J137" s="36"/>
      <c r="K137" s="36"/>
    </row>
    <row r="138" spans="1:20" x14ac:dyDescent="0.25">
      <c r="A138" s="926"/>
      <c r="B138" s="941"/>
      <c r="C138" s="938"/>
      <c r="D138" s="262" t="s">
        <v>88</v>
      </c>
      <c r="E138" s="254">
        <v>0</v>
      </c>
      <c r="F138" s="255">
        <v>0</v>
      </c>
      <c r="G138" s="255">
        <v>0</v>
      </c>
      <c r="H138" s="255">
        <v>0</v>
      </c>
      <c r="I138" s="32"/>
      <c r="J138" s="37"/>
      <c r="K138" s="37"/>
    </row>
    <row r="139" spans="1:20" ht="15.75" thickBot="1" x14ac:dyDescent="0.3">
      <c r="A139" s="927"/>
      <c r="B139" s="942"/>
      <c r="C139" s="939"/>
      <c r="D139" s="263" t="s">
        <v>87</v>
      </c>
      <c r="E139" s="256">
        <v>0</v>
      </c>
      <c r="F139" s="257">
        <v>0</v>
      </c>
      <c r="G139" s="257">
        <v>0</v>
      </c>
      <c r="H139" s="257">
        <v>0</v>
      </c>
      <c r="I139" s="35"/>
      <c r="J139" s="38"/>
      <c r="K139" s="38"/>
    </row>
    <row r="140" spans="1:20" x14ac:dyDescent="0.25">
      <c r="A140" s="928" t="s">
        <v>78</v>
      </c>
      <c r="B140" s="931" t="s">
        <v>175</v>
      </c>
      <c r="C140" s="934" t="s">
        <v>85</v>
      </c>
      <c r="D140" s="379" t="s">
        <v>229</v>
      </c>
      <c r="E140" s="380"/>
      <c r="F140" s="252"/>
      <c r="G140" s="252"/>
      <c r="H140" s="657"/>
      <c r="I140" s="657"/>
      <c r="J140" s="643"/>
      <c r="K140" s="643"/>
      <c r="L140" s="572"/>
      <c r="M140" s="572"/>
    </row>
    <row r="141" spans="1:20" x14ac:dyDescent="0.25">
      <c r="A141" s="929"/>
      <c r="B141" s="932"/>
      <c r="C141" s="935"/>
      <c r="D141" s="381" t="s">
        <v>88</v>
      </c>
      <c r="E141" s="254"/>
      <c r="F141" s="255"/>
      <c r="G141" s="255"/>
      <c r="H141" s="667"/>
      <c r="I141" s="667"/>
      <c r="J141" s="645"/>
      <c r="K141" s="645"/>
      <c r="L141" s="572"/>
      <c r="M141" s="572"/>
    </row>
    <row r="142" spans="1:20" ht="15.75" thickBot="1" x14ac:dyDescent="0.3">
      <c r="A142" s="930"/>
      <c r="B142" s="933"/>
      <c r="C142" s="936"/>
      <c r="D142" s="382" t="s">
        <v>87</v>
      </c>
      <c r="E142" s="256"/>
      <c r="F142" s="257"/>
      <c r="G142" s="257"/>
      <c r="H142" s="668">
        <v>62</v>
      </c>
      <c r="I142" s="668">
        <v>20</v>
      </c>
      <c r="J142" s="369">
        <v>6</v>
      </c>
      <c r="K142" s="369">
        <v>0</v>
      </c>
      <c r="L142" s="572"/>
      <c r="M142" s="572"/>
    </row>
    <row r="143" spans="1:20" x14ac:dyDescent="0.25">
      <c r="A143" s="68"/>
      <c r="B143" s="68"/>
      <c r="C143" s="246"/>
      <c r="D143" s="246"/>
      <c r="H143" s="572"/>
      <c r="I143" s="572"/>
      <c r="J143" s="572"/>
      <c r="K143" s="572"/>
      <c r="L143" s="572"/>
      <c r="M143" s="572"/>
    </row>
    <row r="144" spans="1:20" x14ac:dyDescent="0.25">
      <c r="A144" s="68" t="s">
        <v>224</v>
      </c>
      <c r="B144" s="68"/>
      <c r="C144" s="246"/>
      <c r="D144" s="246"/>
    </row>
    <row r="145" spans="1:36" x14ac:dyDescent="0.25">
      <c r="A145" s="68" t="s">
        <v>221</v>
      </c>
      <c r="B145" s="68"/>
      <c r="C145" s="246"/>
      <c r="D145" s="246"/>
    </row>
    <row r="146" spans="1:36" x14ac:dyDescent="0.25">
      <c r="A146" s="68"/>
      <c r="B146" s="68"/>
      <c r="C146" s="246"/>
      <c r="D146" s="246"/>
    </row>
    <row r="147" spans="1:36" s="68" customFormat="1" x14ac:dyDescent="0.25">
      <c r="C147" s="246"/>
      <c r="D147" s="246"/>
    </row>
    <row r="148" spans="1:36" s="68" customFormat="1" x14ac:dyDescent="0.25">
      <c r="C148" s="246"/>
      <c r="D148" s="246"/>
    </row>
    <row r="149" spans="1:36" s="294" customFormat="1" ht="12" x14ac:dyDescent="0.2">
      <c r="A149" s="293" t="s">
        <v>237</v>
      </c>
      <c r="C149" s="295"/>
      <c r="D149" s="295"/>
    </row>
    <row r="150" spans="1:36" s="294" customFormat="1" ht="12" x14ac:dyDescent="0.2">
      <c r="C150" s="295"/>
      <c r="D150" s="295"/>
    </row>
    <row r="151" spans="1:36" s="294" customFormat="1" ht="12" x14ac:dyDescent="0.2">
      <c r="C151" s="295"/>
      <c r="D151" s="295"/>
    </row>
    <row r="152" spans="1:36" s="294" customFormat="1" ht="12" x14ac:dyDescent="0.2">
      <c r="C152" s="295"/>
      <c r="D152" s="295"/>
      <c r="E152" s="294" t="s">
        <v>100</v>
      </c>
      <c r="F152" s="294" t="s">
        <v>101</v>
      </c>
      <c r="G152" s="294" t="s">
        <v>104</v>
      </c>
      <c r="H152" s="294" t="s">
        <v>105</v>
      </c>
      <c r="I152" s="294" t="s">
        <v>102</v>
      </c>
      <c r="J152" s="294" t="s">
        <v>103</v>
      </c>
      <c r="K152" s="294" t="s">
        <v>106</v>
      </c>
      <c r="L152" s="294" t="s">
        <v>107</v>
      </c>
      <c r="M152" s="294" t="s">
        <v>108</v>
      </c>
      <c r="N152" s="294" t="s">
        <v>109</v>
      </c>
      <c r="O152" s="294" t="s">
        <v>110</v>
      </c>
      <c r="P152" s="294" t="s">
        <v>111</v>
      </c>
      <c r="Q152" s="294" t="s">
        <v>112</v>
      </c>
      <c r="R152" s="294" t="s">
        <v>113</v>
      </c>
      <c r="S152" s="294" t="s">
        <v>114</v>
      </c>
      <c r="T152" s="294" t="s">
        <v>115</v>
      </c>
      <c r="U152" s="294" t="s">
        <v>116</v>
      </c>
      <c r="V152" s="294" t="s">
        <v>117</v>
      </c>
      <c r="W152" s="294" t="s">
        <v>118</v>
      </c>
      <c r="X152" s="294" t="s">
        <v>119</v>
      </c>
      <c r="Y152" s="294" t="s">
        <v>217</v>
      </c>
      <c r="Z152" s="294" t="s">
        <v>218</v>
      </c>
      <c r="AA152" s="294" t="s">
        <v>335</v>
      </c>
      <c r="AB152" s="294" t="s">
        <v>336</v>
      </c>
      <c r="AC152" s="294" t="s">
        <v>359</v>
      </c>
      <c r="AD152" s="294" t="s">
        <v>360</v>
      </c>
      <c r="AE152" s="294" t="s">
        <v>361</v>
      </c>
      <c r="AF152" s="294" t="s">
        <v>362</v>
      </c>
    </row>
    <row r="153" spans="1:36" s="294" customFormat="1" ht="12" x14ac:dyDescent="0.2">
      <c r="C153" s="295"/>
      <c r="D153" s="295" t="s">
        <v>233</v>
      </c>
      <c r="E153" s="296">
        <f>E53</f>
        <v>0</v>
      </c>
      <c r="F153" s="296">
        <f t="shared" ref="F153:J153" si="18">F53</f>
        <v>0</v>
      </c>
      <c r="G153" s="296">
        <f t="shared" si="18"/>
        <v>37.699999999999996</v>
      </c>
      <c r="H153" s="296">
        <f t="shared" si="18"/>
        <v>165.75</v>
      </c>
      <c r="I153" s="296">
        <f t="shared" si="18"/>
        <v>4.42</v>
      </c>
      <c r="J153" s="296">
        <f t="shared" si="18"/>
        <v>11.700000000000001</v>
      </c>
      <c r="K153" s="296">
        <f t="shared" ref="K153:AF153" si="19">K53</f>
        <v>2.73</v>
      </c>
      <c r="L153" s="296">
        <f t="shared" si="19"/>
        <v>0.78</v>
      </c>
      <c r="M153" s="296">
        <f t="shared" si="19"/>
        <v>68.77</v>
      </c>
      <c r="N153" s="296">
        <f t="shared" si="19"/>
        <v>117.78</v>
      </c>
      <c r="O153" s="296">
        <f t="shared" si="19"/>
        <v>201.89000000000001</v>
      </c>
      <c r="P153" s="296">
        <f t="shared" si="19"/>
        <v>329.16</v>
      </c>
      <c r="Q153" s="296">
        <f t="shared" si="19"/>
        <v>418.34000000000003</v>
      </c>
      <c r="R153" s="296">
        <f t="shared" si="19"/>
        <v>560.56000000000006</v>
      </c>
      <c r="S153" s="296">
        <f t="shared" si="19"/>
        <v>873.73</v>
      </c>
      <c r="T153" s="296">
        <f t="shared" si="19"/>
        <v>708.5</v>
      </c>
      <c r="U153" s="296">
        <f t="shared" si="19"/>
        <v>381.94000000000005</v>
      </c>
      <c r="V153" s="296">
        <f t="shared" si="19"/>
        <v>423.28000000000003</v>
      </c>
      <c r="W153" s="296">
        <f t="shared" si="19"/>
        <v>549.12</v>
      </c>
      <c r="X153" s="296">
        <f t="shared" si="19"/>
        <v>594.23</v>
      </c>
      <c r="Y153" s="296">
        <f t="shared" si="19"/>
        <v>571.09</v>
      </c>
      <c r="Z153" s="296">
        <f t="shared" si="19"/>
        <v>1165.3200000000002</v>
      </c>
      <c r="AA153" s="296">
        <f t="shared" si="19"/>
        <v>1335.1000000000001</v>
      </c>
      <c r="AB153" s="296">
        <f t="shared" si="19"/>
        <v>3737.1100000000006</v>
      </c>
      <c r="AC153" s="296">
        <f t="shared" si="19"/>
        <v>4697.29</v>
      </c>
      <c r="AD153" s="296">
        <f t="shared" si="19"/>
        <v>5380.7000000000007</v>
      </c>
      <c r="AE153" s="296">
        <f t="shared" si="19"/>
        <v>6341.79</v>
      </c>
      <c r="AF153" s="296">
        <f t="shared" si="19"/>
        <v>4557.0200000000004</v>
      </c>
    </row>
    <row r="154" spans="1:36" s="294" customFormat="1" ht="12" x14ac:dyDescent="0.2">
      <c r="C154" s="295"/>
      <c r="D154" s="297" t="s">
        <v>235</v>
      </c>
      <c r="E154" s="298">
        <f>E54*E159</f>
        <v>0</v>
      </c>
      <c r="F154" s="298">
        <f t="shared" ref="F154:J154" si="20">F54*F159</f>
        <v>0</v>
      </c>
      <c r="G154" s="298">
        <f t="shared" si="20"/>
        <v>0</v>
      </c>
      <c r="H154" s="298">
        <f t="shared" si="20"/>
        <v>0</v>
      </c>
      <c r="I154" s="298">
        <f t="shared" si="20"/>
        <v>0</v>
      </c>
      <c r="J154" s="298">
        <f t="shared" si="20"/>
        <v>0</v>
      </c>
      <c r="K154" s="298">
        <f t="shared" ref="K154:S154" si="21">K54*K159</f>
        <v>0</v>
      </c>
      <c r="L154" s="298">
        <f t="shared" si="21"/>
        <v>0</v>
      </c>
      <c r="M154" s="298">
        <f t="shared" si="21"/>
        <v>0</v>
      </c>
      <c r="N154" s="298">
        <f t="shared" si="21"/>
        <v>0</v>
      </c>
      <c r="O154" s="298">
        <f t="shared" si="21"/>
        <v>0</v>
      </c>
      <c r="P154" s="298">
        <f t="shared" si="21"/>
        <v>0</v>
      </c>
      <c r="Q154" s="298">
        <f t="shared" si="21"/>
        <v>12.533468047486737</v>
      </c>
      <c r="R154" s="298">
        <f t="shared" si="21"/>
        <v>0</v>
      </c>
      <c r="S154" s="298">
        <f t="shared" si="21"/>
        <v>14.700681990401616</v>
      </c>
      <c r="T154" s="299">
        <f>H115+H118</f>
        <v>60</v>
      </c>
      <c r="U154" s="298">
        <f t="shared" ref="U154:AF154" si="22">U54*U159</f>
        <v>69.793503257953233</v>
      </c>
      <c r="V154" s="298">
        <f t="shared" si="22"/>
        <v>101.08173629743196</v>
      </c>
      <c r="W154" s="298">
        <f t="shared" si="22"/>
        <v>39.672096588731314</v>
      </c>
      <c r="X154" s="298">
        <f t="shared" si="22"/>
        <v>240.45266385588349</v>
      </c>
      <c r="Y154" s="298">
        <f t="shared" si="22"/>
        <v>149.45558915483571</v>
      </c>
      <c r="Z154" s="298">
        <f t="shared" si="22"/>
        <v>127.58479831889703</v>
      </c>
      <c r="AA154" s="298">
        <f t="shared" si="22"/>
        <v>123.66485572241299</v>
      </c>
      <c r="AB154" s="298">
        <f t="shared" si="22"/>
        <v>206.29475680385423</v>
      </c>
      <c r="AC154" s="298">
        <f t="shared" si="22"/>
        <v>127.76358090841646</v>
      </c>
      <c r="AD154" s="298">
        <f t="shared" si="22"/>
        <v>138.73547110708103</v>
      </c>
      <c r="AE154" s="298">
        <f t="shared" si="22"/>
        <v>259.24490973538866</v>
      </c>
      <c r="AF154" s="298">
        <f t="shared" si="22"/>
        <v>574.25603824911377</v>
      </c>
    </row>
    <row r="155" spans="1:36" s="294" customFormat="1" ht="12" x14ac:dyDescent="0.2">
      <c r="C155" s="295"/>
      <c r="D155" s="297" t="s">
        <v>234</v>
      </c>
      <c r="E155" s="298">
        <f>E54*(1-E159)</f>
        <v>226.07</v>
      </c>
      <c r="F155" s="298">
        <f t="shared" ref="F155:J155" si="23">F54*(1-F159)</f>
        <v>201.37</v>
      </c>
      <c r="G155" s="298">
        <f t="shared" si="23"/>
        <v>221.39000000000001</v>
      </c>
      <c r="H155" s="298">
        <f t="shared" si="23"/>
        <v>127.00999999999999</v>
      </c>
      <c r="I155" s="298">
        <f t="shared" si="23"/>
        <v>121.55000000000001</v>
      </c>
      <c r="J155" s="298">
        <f t="shared" si="23"/>
        <v>138.84</v>
      </c>
      <c r="K155" s="298">
        <f t="shared" ref="K155:P155" si="24">K54*(1-K159)</f>
        <v>71.37</v>
      </c>
      <c r="L155" s="298">
        <f t="shared" si="24"/>
        <v>96.72</v>
      </c>
      <c r="M155" s="298">
        <f t="shared" si="24"/>
        <v>91.78</v>
      </c>
      <c r="N155" s="298">
        <f t="shared" si="24"/>
        <v>61.49</v>
      </c>
      <c r="O155" s="298">
        <f t="shared" si="24"/>
        <v>115.44</v>
      </c>
      <c r="P155" s="298">
        <f t="shared" si="24"/>
        <v>115.69999999999999</v>
      </c>
      <c r="Q155" s="299">
        <f>Q54-Q154</f>
        <v>94.97653195251327</v>
      </c>
      <c r="R155" s="299">
        <f>R54-R154</f>
        <v>138.19</v>
      </c>
      <c r="S155" s="299">
        <f>S54-S154</f>
        <v>111.39931800959839</v>
      </c>
      <c r="T155" s="299">
        <v>0</v>
      </c>
      <c r="U155" s="298">
        <f t="shared" ref="U155:AF155" si="25">U54*(1-U159)</f>
        <v>140.15649674204676</v>
      </c>
      <c r="V155" s="298">
        <f t="shared" si="25"/>
        <v>202.98826370256802</v>
      </c>
      <c r="W155" s="298">
        <f t="shared" si="25"/>
        <v>79.667903411268696</v>
      </c>
      <c r="X155" s="298">
        <f t="shared" si="25"/>
        <v>482.86733614411651</v>
      </c>
      <c r="Y155" s="298">
        <f t="shared" si="25"/>
        <v>475.06441084516428</v>
      </c>
      <c r="Z155" s="298">
        <f t="shared" si="25"/>
        <v>405.54520168110298</v>
      </c>
      <c r="AA155" s="298">
        <f t="shared" si="25"/>
        <v>393.08514427758701</v>
      </c>
      <c r="AB155" s="298">
        <f t="shared" si="25"/>
        <v>655.7352431961458</v>
      </c>
      <c r="AC155" s="298">
        <f t="shared" si="25"/>
        <v>55.406419091583558</v>
      </c>
      <c r="AD155" s="298">
        <f t="shared" si="25"/>
        <v>60.164528892918973</v>
      </c>
      <c r="AE155" s="298">
        <f t="shared" si="25"/>
        <v>112.42509026461134</v>
      </c>
      <c r="AF155" s="298">
        <f t="shared" si="25"/>
        <v>249.03396175088616</v>
      </c>
    </row>
    <row r="156" spans="1:36" s="294" customFormat="1" ht="12" x14ac:dyDescent="0.2">
      <c r="C156" s="295"/>
      <c r="D156" s="295" t="s">
        <v>236</v>
      </c>
      <c r="E156" s="296">
        <f>E56</f>
        <v>1732.0749186200003</v>
      </c>
      <c r="F156" s="296">
        <f t="shared" ref="F156:J156" si="26">F56</f>
        <v>1732.0749186200003</v>
      </c>
      <c r="G156" s="296">
        <f t="shared" si="26"/>
        <v>1732.0749186200003</v>
      </c>
      <c r="H156" s="296">
        <f t="shared" si="26"/>
        <v>1732.0749186200003</v>
      </c>
      <c r="I156" s="296">
        <f t="shared" si="26"/>
        <v>1789.0366777299998</v>
      </c>
      <c r="J156" s="296">
        <f t="shared" si="26"/>
        <v>1789.0366777299998</v>
      </c>
      <c r="K156" s="296">
        <f t="shared" ref="K156:AF156" si="27">K56</f>
        <v>1789.0366777299998</v>
      </c>
      <c r="L156" s="296">
        <f t="shared" si="27"/>
        <v>1789.0366777299998</v>
      </c>
      <c r="M156" s="296">
        <f t="shared" si="27"/>
        <v>1819.4267480919259</v>
      </c>
      <c r="N156" s="296">
        <f t="shared" si="27"/>
        <v>1819.4267480919259</v>
      </c>
      <c r="O156" s="296">
        <f t="shared" si="27"/>
        <v>1819.4267480919259</v>
      </c>
      <c r="P156" s="296">
        <f t="shared" si="27"/>
        <v>1819.4267480919259</v>
      </c>
      <c r="Q156" s="296">
        <f t="shared" si="27"/>
        <v>1765.2888472642192</v>
      </c>
      <c r="R156" s="296">
        <f t="shared" si="27"/>
        <v>1765.2888472642192</v>
      </c>
      <c r="S156" s="296">
        <f t="shared" si="27"/>
        <v>1765.2888472642192</v>
      </c>
      <c r="T156" s="296">
        <f t="shared" si="27"/>
        <v>1765.2888472642192</v>
      </c>
      <c r="U156" s="296">
        <f t="shared" si="27"/>
        <v>1866.1861640660534</v>
      </c>
      <c r="V156" s="296">
        <f t="shared" si="27"/>
        <v>1866.1861640660534</v>
      </c>
      <c r="W156" s="296">
        <f t="shared" si="27"/>
        <v>1866.1861640660534</v>
      </c>
      <c r="X156" s="296">
        <f t="shared" si="27"/>
        <v>1866.1861640660534</v>
      </c>
      <c r="Y156" s="296">
        <f t="shared" si="27"/>
        <v>1841.0745331833068</v>
      </c>
      <c r="Z156" s="296">
        <f t="shared" si="27"/>
        <v>1841.0745331833068</v>
      </c>
      <c r="AA156" s="296">
        <f t="shared" si="27"/>
        <v>1841.0745331833068</v>
      </c>
      <c r="AB156" s="296">
        <f t="shared" si="27"/>
        <v>1841.0745331833068</v>
      </c>
      <c r="AC156" s="296">
        <f t="shared" si="27"/>
        <v>1781.50718588217</v>
      </c>
      <c r="AD156" s="296">
        <f t="shared" si="27"/>
        <v>1781.50718588217</v>
      </c>
      <c r="AE156" s="296">
        <f t="shared" si="27"/>
        <v>1781.50718588217</v>
      </c>
      <c r="AF156" s="296">
        <f t="shared" si="27"/>
        <v>1781.50718588217</v>
      </c>
    </row>
    <row r="157" spans="1:36" s="294" customFormat="1" ht="12" x14ac:dyDescent="0.2">
      <c r="C157" s="295"/>
      <c r="D157" s="295" t="s">
        <v>239</v>
      </c>
      <c r="E157" s="330">
        <f>E116+E119</f>
        <v>0</v>
      </c>
      <c r="F157" s="296">
        <f>E157</f>
        <v>0</v>
      </c>
      <c r="G157" s="296">
        <f>E157</f>
        <v>0</v>
      </c>
      <c r="H157" s="296">
        <f>E157</f>
        <v>0</v>
      </c>
      <c r="I157" s="330">
        <f>F115+F118</f>
        <v>0</v>
      </c>
      <c r="J157" s="296">
        <f>I157</f>
        <v>0</v>
      </c>
      <c r="K157" s="296">
        <f>I157</f>
        <v>0</v>
      </c>
      <c r="L157" s="296">
        <f>I157</f>
        <v>0</v>
      </c>
      <c r="M157" s="330">
        <f>G115+G118</f>
        <v>0</v>
      </c>
      <c r="N157" s="296">
        <f>M157</f>
        <v>0</v>
      </c>
      <c r="O157" s="296">
        <f>M157</f>
        <v>0</v>
      </c>
      <c r="P157" s="296">
        <f>M157</f>
        <v>0</v>
      </c>
      <c r="Q157" s="330">
        <f>H115+H118</f>
        <v>60</v>
      </c>
      <c r="R157" s="296">
        <v>0</v>
      </c>
      <c r="S157" s="296">
        <f>Q157</f>
        <v>60</v>
      </c>
      <c r="T157" s="296">
        <f>Q157</f>
        <v>60</v>
      </c>
      <c r="U157" s="330">
        <f>I115+I118</f>
        <v>451</v>
      </c>
      <c r="V157" s="296">
        <f>U157</f>
        <v>451</v>
      </c>
      <c r="W157" s="296">
        <f>U157</f>
        <v>451</v>
      </c>
      <c r="X157" s="296">
        <f>U157</f>
        <v>451</v>
      </c>
      <c r="Y157" s="330">
        <f>J115+J118</f>
        <v>607</v>
      </c>
      <c r="Z157" s="296">
        <f>Y157</f>
        <v>607</v>
      </c>
      <c r="AA157" s="296">
        <f t="shared" ref="AA157" si="28">Z157</f>
        <v>607</v>
      </c>
      <c r="AB157" s="296">
        <f>AA157</f>
        <v>607</v>
      </c>
      <c r="AC157" s="296">
        <v>1100</v>
      </c>
      <c r="AD157" s="296">
        <v>1100</v>
      </c>
      <c r="AE157" s="296">
        <v>1100</v>
      </c>
      <c r="AF157" s="296">
        <v>1100</v>
      </c>
      <c r="AI157" s="296"/>
      <c r="AJ157" s="296"/>
    </row>
    <row r="158" spans="1:36" s="294" customFormat="1" ht="12" x14ac:dyDescent="0.2">
      <c r="C158" s="295"/>
      <c r="D158" s="295" t="s">
        <v>240</v>
      </c>
      <c r="E158" s="330">
        <f>SUM(E54:H54)</f>
        <v>775.84</v>
      </c>
      <c r="F158" s="296">
        <f>E158</f>
        <v>775.84</v>
      </c>
      <c r="G158" s="296">
        <f>E158</f>
        <v>775.84</v>
      </c>
      <c r="H158" s="296">
        <f>E158</f>
        <v>775.84</v>
      </c>
      <c r="I158" s="330">
        <f>SUM(I54:L54)</f>
        <v>428.48</v>
      </c>
      <c r="J158" s="296">
        <f>I158</f>
        <v>428.48</v>
      </c>
      <c r="K158" s="296">
        <f>I158</f>
        <v>428.48</v>
      </c>
      <c r="L158" s="296">
        <f>I158</f>
        <v>428.48</v>
      </c>
      <c r="M158" s="330">
        <f>SUM(M54:P54)</f>
        <v>384.41</v>
      </c>
      <c r="N158" s="296">
        <f>M158</f>
        <v>384.41</v>
      </c>
      <c r="O158" s="296">
        <f>M158</f>
        <v>384.41</v>
      </c>
      <c r="P158" s="296">
        <f>M158</f>
        <v>384.41</v>
      </c>
      <c r="Q158" s="330">
        <f>SUM(Q54:T54)</f>
        <v>514.67000000000007</v>
      </c>
      <c r="R158" s="296">
        <f>Q158</f>
        <v>514.67000000000007</v>
      </c>
      <c r="S158" s="296">
        <f>Q158</f>
        <v>514.67000000000007</v>
      </c>
      <c r="T158" s="296">
        <f>Q158</f>
        <v>514.67000000000007</v>
      </c>
      <c r="U158" s="330">
        <f>SUM(U54:X54)</f>
        <v>1356.68</v>
      </c>
      <c r="V158" s="296">
        <f>U158</f>
        <v>1356.68</v>
      </c>
      <c r="W158" s="296">
        <f>U158</f>
        <v>1356.68</v>
      </c>
      <c r="X158" s="296">
        <f>U158</f>
        <v>1356.68</v>
      </c>
      <c r="Y158" s="330">
        <f>SUM(Y54:AB54)</f>
        <v>2536.4300000000003</v>
      </c>
      <c r="Z158" s="296">
        <f>Y158</f>
        <v>2536.4300000000003</v>
      </c>
      <c r="AA158" s="296">
        <f t="shared" ref="AA158" si="29">Z158</f>
        <v>2536.4300000000003</v>
      </c>
      <c r="AB158" s="296">
        <f>AA158</f>
        <v>2536.4300000000003</v>
      </c>
      <c r="AC158" s="330">
        <f>SUM(AC54:AF54)</f>
        <v>1577.03</v>
      </c>
      <c r="AD158" s="296">
        <f>AC158</f>
        <v>1577.03</v>
      </c>
      <c r="AE158" s="296">
        <f>AD158</f>
        <v>1577.03</v>
      </c>
      <c r="AF158" s="296">
        <f>AE158</f>
        <v>1577.03</v>
      </c>
      <c r="AI158" s="296"/>
      <c r="AJ158" s="296"/>
    </row>
    <row r="159" spans="1:36" s="294" customFormat="1" ht="12" x14ac:dyDescent="0.2">
      <c r="C159" s="295"/>
      <c r="D159" s="295" t="s">
        <v>344</v>
      </c>
      <c r="E159" s="300">
        <f>E157/E158</f>
        <v>0</v>
      </c>
      <c r="F159" s="300">
        <f t="shared" ref="F159:AB159" si="30">F157/F158</f>
        <v>0</v>
      </c>
      <c r="G159" s="300">
        <f t="shared" si="30"/>
        <v>0</v>
      </c>
      <c r="H159" s="300">
        <f t="shared" si="30"/>
        <v>0</v>
      </c>
      <c r="I159" s="300">
        <f t="shared" si="30"/>
        <v>0</v>
      </c>
      <c r="J159" s="300">
        <f t="shared" si="30"/>
        <v>0</v>
      </c>
      <c r="K159" s="300">
        <f t="shared" si="30"/>
        <v>0</v>
      </c>
      <c r="L159" s="300">
        <f t="shared" si="30"/>
        <v>0</v>
      </c>
      <c r="M159" s="300">
        <f t="shared" si="30"/>
        <v>0</v>
      </c>
      <c r="N159" s="300">
        <f t="shared" si="30"/>
        <v>0</v>
      </c>
      <c r="O159" s="300">
        <f t="shared" si="30"/>
        <v>0</v>
      </c>
      <c r="P159" s="300">
        <f t="shared" si="30"/>
        <v>0</v>
      </c>
      <c r="Q159" s="300">
        <f t="shared" si="30"/>
        <v>0.11657955583189226</v>
      </c>
      <c r="R159" s="300">
        <f t="shared" si="30"/>
        <v>0</v>
      </c>
      <c r="S159" s="300">
        <f t="shared" si="30"/>
        <v>0.11657955583189226</v>
      </c>
      <c r="T159" s="300">
        <f t="shared" si="30"/>
        <v>0.11657955583189226</v>
      </c>
      <c r="U159" s="300">
        <f t="shared" si="30"/>
        <v>0.33242916531532857</v>
      </c>
      <c r="V159" s="300">
        <f t="shared" si="30"/>
        <v>0.33242916531532857</v>
      </c>
      <c r="W159" s="300">
        <f t="shared" si="30"/>
        <v>0.33242916531532857</v>
      </c>
      <c r="X159" s="300">
        <f t="shared" si="30"/>
        <v>0.33242916531532857</v>
      </c>
      <c r="Y159" s="300">
        <f t="shared" si="30"/>
        <v>0.23931273482808513</v>
      </c>
      <c r="Z159" s="300">
        <f t="shared" si="30"/>
        <v>0.23931273482808513</v>
      </c>
      <c r="AA159" s="300">
        <f t="shared" si="30"/>
        <v>0.23931273482808513</v>
      </c>
      <c r="AB159" s="300">
        <f t="shared" si="30"/>
        <v>0.23931273482808513</v>
      </c>
      <c r="AC159" s="300">
        <f>AC157/AC158</f>
        <v>0.69751368077969345</v>
      </c>
      <c r="AD159" s="300">
        <f t="shared" ref="AD159:AF159" si="31">AD157/AD158</f>
        <v>0.69751368077969345</v>
      </c>
      <c r="AE159" s="300">
        <f t="shared" si="31"/>
        <v>0.69751368077969345</v>
      </c>
      <c r="AF159" s="300">
        <f t="shared" si="31"/>
        <v>0.69751368077969345</v>
      </c>
    </row>
    <row r="160" spans="1:36" s="68" customFormat="1" x14ac:dyDescent="0.25">
      <c r="C160" s="246"/>
      <c r="D160" s="246"/>
    </row>
    <row r="161" spans="2:39" s="68" customFormat="1" x14ac:dyDescent="0.25">
      <c r="B161" s="365" t="s">
        <v>368</v>
      </c>
      <c r="C161" s="246"/>
      <c r="D161" s="246"/>
    </row>
    <row r="162" spans="2:39" ht="15.75" thickBot="1" x14ac:dyDescent="0.3"/>
    <row r="163" spans="2:39" ht="15.75" thickBot="1" x14ac:dyDescent="0.3">
      <c r="B163" s="29" t="s">
        <v>71</v>
      </c>
      <c r="C163" s="898" t="s">
        <v>272</v>
      </c>
      <c r="D163" s="899"/>
      <c r="E163" s="51" t="s">
        <v>100</v>
      </c>
      <c r="F163" s="52" t="s">
        <v>101</v>
      </c>
      <c r="G163" s="52" t="s">
        <v>104</v>
      </c>
      <c r="H163" s="53" t="s">
        <v>105</v>
      </c>
      <c r="I163" s="51" t="s">
        <v>102</v>
      </c>
      <c r="J163" s="52" t="s">
        <v>103</v>
      </c>
      <c r="K163" s="52" t="s">
        <v>106</v>
      </c>
      <c r="L163" s="53" t="s">
        <v>107</v>
      </c>
      <c r="M163" s="51" t="s">
        <v>108</v>
      </c>
      <c r="N163" s="52" t="s">
        <v>109</v>
      </c>
      <c r="O163" s="52" t="s">
        <v>110</v>
      </c>
      <c r="P163" s="53" t="s">
        <v>111</v>
      </c>
      <c r="Q163" s="51" t="s">
        <v>112</v>
      </c>
      <c r="R163" s="52" t="s">
        <v>113</v>
      </c>
      <c r="S163" s="59" t="s">
        <v>114</v>
      </c>
      <c r="T163" s="444" t="s">
        <v>115</v>
      </c>
      <c r="U163" s="51" t="s">
        <v>116</v>
      </c>
      <c r="V163" s="52" t="s">
        <v>117</v>
      </c>
      <c r="W163" s="52" t="s">
        <v>118</v>
      </c>
      <c r="X163" s="53" t="s">
        <v>119</v>
      </c>
      <c r="Y163" s="51" t="s">
        <v>242</v>
      </c>
      <c r="Z163" s="52" t="s">
        <v>243</v>
      </c>
      <c r="AA163" s="52" t="s">
        <v>333</v>
      </c>
      <c r="AB163" s="53" t="s">
        <v>334</v>
      </c>
      <c r="AH163" s="150">
        <v>2014</v>
      </c>
      <c r="AI163" s="151">
        <v>2015</v>
      </c>
      <c r="AJ163" s="151">
        <v>2016</v>
      </c>
      <c r="AK163" s="151">
        <v>2017</v>
      </c>
      <c r="AL163" s="151">
        <v>2018</v>
      </c>
      <c r="AM163" s="151">
        <v>2019</v>
      </c>
    </row>
    <row r="164" spans="2:39" x14ac:dyDescent="0.25">
      <c r="B164" s="20" t="s">
        <v>247</v>
      </c>
      <c r="C164" s="886" t="s">
        <v>277</v>
      </c>
      <c r="D164" s="887"/>
      <c r="E164" s="127">
        <v>0</v>
      </c>
      <c r="F164" s="128">
        <v>0</v>
      </c>
      <c r="G164" s="128">
        <v>0</v>
      </c>
      <c r="H164" s="129">
        <v>1.3000000000000002E-3</v>
      </c>
      <c r="I164" s="127">
        <v>3.2500000000000001E-2</v>
      </c>
      <c r="J164" s="128">
        <v>0</v>
      </c>
      <c r="K164" s="128">
        <v>0</v>
      </c>
      <c r="L164" s="129">
        <v>9.1000000000000004E-3</v>
      </c>
      <c r="M164" s="127">
        <v>0</v>
      </c>
      <c r="N164" s="128">
        <v>0</v>
      </c>
      <c r="O164" s="128">
        <v>0</v>
      </c>
      <c r="P164" s="129">
        <v>6.5000000000000006E-3</v>
      </c>
      <c r="Q164" s="127">
        <v>0</v>
      </c>
      <c r="R164" s="128">
        <v>0</v>
      </c>
      <c r="S164" s="134">
        <v>0</v>
      </c>
      <c r="T164" s="135">
        <v>0</v>
      </c>
      <c r="U164" s="127">
        <v>1.8200000000000001E-2</v>
      </c>
      <c r="V164" s="128">
        <v>0</v>
      </c>
      <c r="W164" s="128">
        <v>0</v>
      </c>
      <c r="X164" s="129">
        <v>2.0800000000000003E-2</v>
      </c>
      <c r="Y164" s="419">
        <v>0.22100000000000003</v>
      </c>
      <c r="Z164" s="420">
        <v>0.76830000000000009</v>
      </c>
      <c r="AA164" s="420">
        <v>0.32500000000000001</v>
      </c>
      <c r="AB164" s="418">
        <v>28.178799999999999</v>
      </c>
      <c r="AH164" s="127">
        <f t="shared" ref="AH164:AH203" si="32">SUM(E164:H164)</f>
        <v>1.3000000000000002E-3</v>
      </c>
      <c r="AI164" s="128">
        <f t="shared" ref="AI164:AI203" si="33">SUM(I164:L164)</f>
        <v>4.1599999999999998E-2</v>
      </c>
      <c r="AJ164" s="128">
        <f t="shared" ref="AJ164:AJ203" si="34">SUM(M164:P164)</f>
        <v>6.5000000000000006E-3</v>
      </c>
      <c r="AK164" s="128">
        <f t="shared" ref="AK164:AK203" si="35">SUM(Q164:T164)</f>
        <v>0</v>
      </c>
      <c r="AL164" s="128">
        <f t="shared" ref="AL164:AL203" si="36">SUM(U164:X164)</f>
        <v>3.9000000000000007E-2</v>
      </c>
      <c r="AM164" s="128">
        <f t="shared" ref="AM164:AM203" si="37">SUM(Y164:AB164)</f>
        <v>29.493099999999998</v>
      </c>
    </row>
    <row r="165" spans="2:39" x14ac:dyDescent="0.25">
      <c r="B165" s="21" t="s">
        <v>188</v>
      </c>
      <c r="C165" s="888"/>
      <c r="D165" s="889"/>
      <c r="E165" s="121">
        <v>0</v>
      </c>
      <c r="F165" s="122">
        <v>0</v>
      </c>
      <c r="G165" s="122">
        <v>0</v>
      </c>
      <c r="H165" s="123">
        <v>1.3000000000000002E-3</v>
      </c>
      <c r="I165" s="121">
        <v>3.2500000000000001E-2</v>
      </c>
      <c r="J165" s="122">
        <v>0</v>
      </c>
      <c r="K165" s="122">
        <v>0</v>
      </c>
      <c r="L165" s="123">
        <v>0</v>
      </c>
      <c r="M165" s="121">
        <v>0</v>
      </c>
      <c r="N165" s="122">
        <v>0</v>
      </c>
      <c r="O165" s="122">
        <v>0</v>
      </c>
      <c r="P165" s="123">
        <v>6.5000000000000006E-3</v>
      </c>
      <c r="Q165" s="121">
        <v>0</v>
      </c>
      <c r="R165" s="122">
        <v>0</v>
      </c>
      <c r="S165" s="136">
        <v>0</v>
      </c>
      <c r="T165" s="137">
        <v>0</v>
      </c>
      <c r="U165" s="121">
        <v>1.8200000000000001E-2</v>
      </c>
      <c r="V165" s="122">
        <v>0</v>
      </c>
      <c r="W165" s="122">
        <v>0</v>
      </c>
      <c r="X165" s="123">
        <v>0</v>
      </c>
      <c r="Y165" s="412">
        <v>0.22100000000000003</v>
      </c>
      <c r="Z165" s="413">
        <v>0.51350000000000007</v>
      </c>
      <c r="AA165" s="413">
        <v>0</v>
      </c>
      <c r="AB165" s="414">
        <v>0</v>
      </c>
      <c r="AH165" s="121">
        <f t="shared" si="32"/>
        <v>1.3000000000000002E-3</v>
      </c>
      <c r="AI165" s="122">
        <f t="shared" si="33"/>
        <v>3.2500000000000001E-2</v>
      </c>
      <c r="AJ165" s="122">
        <f t="shared" si="34"/>
        <v>6.5000000000000006E-3</v>
      </c>
      <c r="AK165" s="122">
        <f t="shared" si="35"/>
        <v>0</v>
      </c>
      <c r="AL165" s="122">
        <f t="shared" si="36"/>
        <v>1.8200000000000001E-2</v>
      </c>
      <c r="AM165" s="122">
        <f t="shared" si="37"/>
        <v>0.73450000000000015</v>
      </c>
    </row>
    <row r="166" spans="2:39" x14ac:dyDescent="0.25">
      <c r="B166" s="21" t="s">
        <v>189</v>
      </c>
      <c r="C166" s="888"/>
      <c r="D166" s="889"/>
      <c r="E166" s="121">
        <v>0</v>
      </c>
      <c r="F166" s="122">
        <v>0</v>
      </c>
      <c r="G166" s="122">
        <v>0</v>
      </c>
      <c r="H166" s="123">
        <v>0</v>
      </c>
      <c r="I166" s="121">
        <v>0</v>
      </c>
      <c r="J166" s="122">
        <v>0</v>
      </c>
      <c r="K166" s="122">
        <v>0</v>
      </c>
      <c r="L166" s="123">
        <v>9.1000000000000004E-3</v>
      </c>
      <c r="M166" s="121">
        <v>0</v>
      </c>
      <c r="N166" s="122">
        <v>0</v>
      </c>
      <c r="O166" s="122">
        <v>0</v>
      </c>
      <c r="P166" s="123">
        <v>0</v>
      </c>
      <c r="Q166" s="121">
        <v>0</v>
      </c>
      <c r="R166" s="122">
        <v>0</v>
      </c>
      <c r="S166" s="136">
        <v>0</v>
      </c>
      <c r="T166" s="137">
        <v>0</v>
      </c>
      <c r="U166" s="121">
        <v>0</v>
      </c>
      <c r="V166" s="122">
        <v>0</v>
      </c>
      <c r="W166" s="122">
        <v>0</v>
      </c>
      <c r="X166" s="123">
        <v>2.0800000000000003E-2</v>
      </c>
      <c r="Y166" s="412">
        <v>0</v>
      </c>
      <c r="Z166" s="413">
        <v>0.25480000000000003</v>
      </c>
      <c r="AA166" s="413">
        <v>0.32500000000000001</v>
      </c>
      <c r="AB166" s="414">
        <v>28.178799999999999</v>
      </c>
      <c r="AH166" s="121">
        <f t="shared" si="32"/>
        <v>0</v>
      </c>
      <c r="AI166" s="122">
        <f t="shared" si="33"/>
        <v>9.1000000000000004E-3</v>
      </c>
      <c r="AJ166" s="122">
        <f t="shared" si="34"/>
        <v>0</v>
      </c>
      <c r="AK166" s="122">
        <f t="shared" si="35"/>
        <v>0</v>
      </c>
      <c r="AL166" s="122">
        <f t="shared" si="36"/>
        <v>2.0800000000000003E-2</v>
      </c>
      <c r="AM166" s="122">
        <f t="shared" si="37"/>
        <v>28.758599999999998</v>
      </c>
    </row>
    <row r="167" spans="2:39" x14ac:dyDescent="0.25">
      <c r="B167" s="21" t="s">
        <v>195</v>
      </c>
      <c r="C167" s="890"/>
      <c r="D167" s="891"/>
      <c r="E167" s="121">
        <v>0</v>
      </c>
      <c r="F167" s="122">
        <v>0</v>
      </c>
      <c r="G167" s="122">
        <v>0</v>
      </c>
      <c r="H167" s="123">
        <v>0</v>
      </c>
      <c r="I167" s="121">
        <v>0</v>
      </c>
      <c r="J167" s="122">
        <v>0</v>
      </c>
      <c r="K167" s="122">
        <v>0</v>
      </c>
      <c r="L167" s="123">
        <v>0</v>
      </c>
      <c r="M167" s="121">
        <v>0</v>
      </c>
      <c r="N167" s="122">
        <v>0</v>
      </c>
      <c r="O167" s="122">
        <v>0</v>
      </c>
      <c r="P167" s="123">
        <v>6.5000000000000006E-3</v>
      </c>
      <c r="Q167" s="121">
        <v>0</v>
      </c>
      <c r="R167" s="122">
        <v>0</v>
      </c>
      <c r="S167" s="136">
        <v>0</v>
      </c>
      <c r="T167" s="137">
        <v>0</v>
      </c>
      <c r="U167" s="121">
        <v>1.8200000000000001E-2</v>
      </c>
      <c r="V167" s="122">
        <v>0</v>
      </c>
      <c r="W167" s="122">
        <v>0</v>
      </c>
      <c r="X167" s="123">
        <v>0</v>
      </c>
      <c r="Y167" s="412">
        <v>0.22100000000000003</v>
      </c>
      <c r="Z167" s="413">
        <v>0.76830000000000009</v>
      </c>
      <c r="AA167" s="413">
        <v>0.32500000000000001</v>
      </c>
      <c r="AB167" s="414">
        <v>28.178799999999999</v>
      </c>
      <c r="AH167" s="121">
        <f t="shared" si="32"/>
        <v>0</v>
      </c>
      <c r="AI167" s="122">
        <f t="shared" si="33"/>
        <v>0</v>
      </c>
      <c r="AJ167" s="122">
        <f t="shared" si="34"/>
        <v>6.5000000000000006E-3</v>
      </c>
      <c r="AK167" s="122">
        <f t="shared" si="35"/>
        <v>0</v>
      </c>
      <c r="AL167" s="122">
        <f t="shared" si="36"/>
        <v>1.8200000000000001E-2</v>
      </c>
      <c r="AM167" s="122">
        <f t="shared" si="37"/>
        <v>29.493099999999998</v>
      </c>
    </row>
    <row r="168" spans="2:39" x14ac:dyDescent="0.25">
      <c r="B168" s="22" t="s">
        <v>247</v>
      </c>
      <c r="C168" s="892" t="s">
        <v>278</v>
      </c>
      <c r="D168" s="893"/>
      <c r="E168" s="124">
        <v>70.072599999999994</v>
      </c>
      <c r="F168" s="125">
        <v>38.554100000000005</v>
      </c>
      <c r="G168" s="125">
        <v>52.497900000000001</v>
      </c>
      <c r="H168" s="126">
        <v>58.334900000000005</v>
      </c>
      <c r="I168" s="124">
        <v>33.893599999999999</v>
      </c>
      <c r="J168" s="125">
        <v>33.026499999999999</v>
      </c>
      <c r="K168" s="125">
        <v>29.396899999999999</v>
      </c>
      <c r="L168" s="126">
        <v>52.131299999999996</v>
      </c>
      <c r="M168" s="124">
        <v>23.467600000000001</v>
      </c>
      <c r="N168" s="125">
        <v>16.918200000000002</v>
      </c>
      <c r="O168" s="125">
        <v>18.171400000000002</v>
      </c>
      <c r="P168" s="126">
        <v>27.960400000000003</v>
      </c>
      <c r="Q168" s="124">
        <v>24.3659</v>
      </c>
      <c r="R168" s="125">
        <v>22.133800000000004</v>
      </c>
      <c r="S168" s="138">
        <v>20.7363</v>
      </c>
      <c r="T168" s="139">
        <v>19.184100000000001</v>
      </c>
      <c r="U168" s="124">
        <v>23.926500000000001</v>
      </c>
      <c r="V168" s="125">
        <v>45.436300000000003</v>
      </c>
      <c r="W168" s="125">
        <v>22.3795</v>
      </c>
      <c r="X168" s="126">
        <v>27.435200000000002</v>
      </c>
      <c r="Y168" s="415">
        <v>25.775100000000002</v>
      </c>
      <c r="Z168" s="416">
        <v>23.869299999999999</v>
      </c>
      <c r="AA168" s="416">
        <v>32.160699999999999</v>
      </c>
      <c r="AB168" s="417">
        <v>21.873800000000003</v>
      </c>
      <c r="AH168" s="124">
        <f t="shared" si="32"/>
        <v>219.45949999999999</v>
      </c>
      <c r="AI168" s="125">
        <f t="shared" si="33"/>
        <v>148.44829999999999</v>
      </c>
      <c r="AJ168" s="125">
        <f t="shared" si="34"/>
        <v>86.517600000000016</v>
      </c>
      <c r="AK168" s="125">
        <f t="shared" si="35"/>
        <v>86.420100000000005</v>
      </c>
      <c r="AL168" s="125">
        <f t="shared" si="36"/>
        <v>119.17750000000001</v>
      </c>
      <c r="AM168" s="125">
        <f t="shared" si="37"/>
        <v>103.67890000000001</v>
      </c>
    </row>
    <row r="169" spans="2:39" x14ac:dyDescent="0.25">
      <c r="B169" s="22" t="s">
        <v>188</v>
      </c>
      <c r="C169" s="894"/>
      <c r="D169" s="895"/>
      <c r="E169" s="124">
        <v>31.908500000000004</v>
      </c>
      <c r="F169" s="125">
        <v>16.858400000000003</v>
      </c>
      <c r="G169" s="125">
        <v>24.403600000000004</v>
      </c>
      <c r="H169" s="126">
        <v>21.223800000000001</v>
      </c>
      <c r="I169" s="124">
        <v>19.1724</v>
      </c>
      <c r="J169" s="125">
        <v>10.294699999999999</v>
      </c>
      <c r="K169" s="125">
        <v>13.804699999999999</v>
      </c>
      <c r="L169" s="126">
        <v>22.601799999999997</v>
      </c>
      <c r="M169" s="124">
        <v>10.630100000000001</v>
      </c>
      <c r="N169" s="125">
        <v>15.607800000000001</v>
      </c>
      <c r="O169" s="125">
        <v>16.624400000000001</v>
      </c>
      <c r="P169" s="126">
        <v>24.319100000000002</v>
      </c>
      <c r="Q169" s="124">
        <v>19.8263</v>
      </c>
      <c r="R169" s="125">
        <v>19.536400000000004</v>
      </c>
      <c r="S169" s="138">
        <v>18.092100000000002</v>
      </c>
      <c r="T169" s="139">
        <v>17.4772</v>
      </c>
      <c r="U169" s="124">
        <v>10.312900000000001</v>
      </c>
      <c r="V169" s="125">
        <v>13.874900000000002</v>
      </c>
      <c r="W169" s="125">
        <v>19.938099999999999</v>
      </c>
      <c r="X169" s="126">
        <v>25.888200000000001</v>
      </c>
      <c r="Y169" s="415">
        <v>23.502700000000001</v>
      </c>
      <c r="Z169" s="416">
        <v>23.233599999999999</v>
      </c>
      <c r="AA169" s="416">
        <v>9.0337000000000014</v>
      </c>
      <c r="AB169" s="417">
        <v>21.873800000000003</v>
      </c>
      <c r="AH169" s="124">
        <f t="shared" si="32"/>
        <v>94.394300000000001</v>
      </c>
      <c r="AI169" s="125">
        <f t="shared" si="33"/>
        <v>65.873599999999996</v>
      </c>
      <c r="AJ169" s="125">
        <f t="shared" si="34"/>
        <v>67.181400000000011</v>
      </c>
      <c r="AK169" s="125">
        <f t="shared" si="35"/>
        <v>74.932000000000002</v>
      </c>
      <c r="AL169" s="125">
        <f t="shared" si="36"/>
        <v>70.014099999999999</v>
      </c>
      <c r="AM169" s="125">
        <f t="shared" si="37"/>
        <v>77.643799999999999</v>
      </c>
    </row>
    <row r="170" spans="2:39" x14ac:dyDescent="0.25">
      <c r="B170" s="22" t="s">
        <v>189</v>
      </c>
      <c r="C170" s="894"/>
      <c r="D170" s="895"/>
      <c r="E170" s="124">
        <v>38.164099999999998</v>
      </c>
      <c r="F170" s="125">
        <v>21.695700000000002</v>
      </c>
      <c r="G170" s="125">
        <v>28.0943</v>
      </c>
      <c r="H170" s="126">
        <v>37.1111</v>
      </c>
      <c r="I170" s="124">
        <v>14.7212</v>
      </c>
      <c r="J170" s="125">
        <v>22.731800000000003</v>
      </c>
      <c r="K170" s="125">
        <v>15.5922</v>
      </c>
      <c r="L170" s="126">
        <v>29.529500000000002</v>
      </c>
      <c r="M170" s="124">
        <v>12.8375</v>
      </c>
      <c r="N170" s="125">
        <v>1.3104</v>
      </c>
      <c r="O170" s="125">
        <v>1.5469999999999999</v>
      </c>
      <c r="P170" s="126">
        <v>3.6413000000000002</v>
      </c>
      <c r="Q170" s="124">
        <v>4.5396000000000001</v>
      </c>
      <c r="R170" s="125">
        <v>2.5973999999999999</v>
      </c>
      <c r="S170" s="138">
        <v>2.6441999999999997</v>
      </c>
      <c r="T170" s="139">
        <v>1.7069000000000001</v>
      </c>
      <c r="U170" s="124">
        <v>13.6136</v>
      </c>
      <c r="V170" s="125">
        <v>31.561399999999999</v>
      </c>
      <c r="W170" s="125">
        <v>2.4414000000000002</v>
      </c>
      <c r="X170" s="126">
        <v>1.5469999999999999</v>
      </c>
      <c r="Y170" s="415">
        <v>2.2724000000000002</v>
      </c>
      <c r="Z170" s="416">
        <v>0.63570000000000004</v>
      </c>
      <c r="AA170" s="416">
        <v>23.126999999999999</v>
      </c>
      <c r="AB170" s="417">
        <v>0</v>
      </c>
      <c r="AH170" s="124">
        <f t="shared" si="32"/>
        <v>125.0652</v>
      </c>
      <c r="AI170" s="125">
        <f t="shared" si="33"/>
        <v>82.574700000000007</v>
      </c>
      <c r="AJ170" s="125">
        <f t="shared" si="34"/>
        <v>19.336200000000002</v>
      </c>
      <c r="AK170" s="125">
        <f t="shared" si="35"/>
        <v>11.488099999999999</v>
      </c>
      <c r="AL170" s="125">
        <f t="shared" si="36"/>
        <v>49.163399999999996</v>
      </c>
      <c r="AM170" s="125">
        <f t="shared" si="37"/>
        <v>26.0351</v>
      </c>
    </row>
    <row r="171" spans="2:39" ht="15.75" thickBot="1" x14ac:dyDescent="0.3">
      <c r="B171" s="24" t="s">
        <v>195</v>
      </c>
      <c r="C171" s="896"/>
      <c r="D171" s="897"/>
      <c r="E171" s="130">
        <v>69.777500000000003</v>
      </c>
      <c r="F171" s="131">
        <v>38.340900000000005</v>
      </c>
      <c r="G171" s="131">
        <v>52.432900000000004</v>
      </c>
      <c r="H171" s="132">
        <v>58.281599999999997</v>
      </c>
      <c r="I171" s="130">
        <v>33.8078</v>
      </c>
      <c r="J171" s="131">
        <v>32.988800000000005</v>
      </c>
      <c r="K171" s="131">
        <v>29.084899999999998</v>
      </c>
      <c r="L171" s="132">
        <v>52.010400000000004</v>
      </c>
      <c r="M171" s="130">
        <v>23.4208</v>
      </c>
      <c r="N171" s="131">
        <v>16.914300000000001</v>
      </c>
      <c r="O171" s="131">
        <v>18.1675</v>
      </c>
      <c r="P171" s="132">
        <v>27.439100000000003</v>
      </c>
      <c r="Q171" s="130">
        <v>24.231999999999999</v>
      </c>
      <c r="R171" s="131">
        <v>22.120800000000003</v>
      </c>
      <c r="S171" s="140">
        <v>20.7363</v>
      </c>
      <c r="T171" s="141">
        <v>19.134700000000002</v>
      </c>
      <c r="U171" s="130">
        <v>23.926500000000001</v>
      </c>
      <c r="V171" s="131">
        <v>45.363500000000002</v>
      </c>
      <c r="W171" s="131">
        <v>21.202999999999999</v>
      </c>
      <c r="X171" s="132">
        <v>27.393600000000003</v>
      </c>
      <c r="Y171" s="436">
        <v>25.563200000000002</v>
      </c>
      <c r="Z171" s="437">
        <v>23.2271</v>
      </c>
      <c r="AA171" s="437">
        <v>31.5809</v>
      </c>
      <c r="AB171" s="438">
        <v>21.873800000000003</v>
      </c>
      <c r="AH171" s="130">
        <f t="shared" si="32"/>
        <v>218.83290000000002</v>
      </c>
      <c r="AI171" s="131">
        <f t="shared" si="33"/>
        <v>147.89190000000002</v>
      </c>
      <c r="AJ171" s="131">
        <f t="shared" si="34"/>
        <v>85.941699999999997</v>
      </c>
      <c r="AK171" s="131">
        <f t="shared" si="35"/>
        <v>86.223800000000011</v>
      </c>
      <c r="AL171" s="131">
        <f t="shared" si="36"/>
        <v>117.88660000000002</v>
      </c>
      <c r="AM171" s="131">
        <f t="shared" si="37"/>
        <v>102.245</v>
      </c>
    </row>
    <row r="172" spans="2:39" x14ac:dyDescent="0.25">
      <c r="B172" s="20" t="s">
        <v>247</v>
      </c>
      <c r="C172" s="886" t="s">
        <v>279</v>
      </c>
      <c r="D172" s="887" t="s">
        <v>270</v>
      </c>
      <c r="E172" s="127">
        <v>7261.7037999999993</v>
      </c>
      <c r="F172" s="128">
        <v>7625.1734000000015</v>
      </c>
      <c r="G172" s="128">
        <v>9351.7437000000009</v>
      </c>
      <c r="H172" s="129">
        <v>7416.4831000000004</v>
      </c>
      <c r="I172" s="127">
        <v>6850.3200999999999</v>
      </c>
      <c r="J172" s="128">
        <v>6300.3317000000006</v>
      </c>
      <c r="K172" s="128">
        <v>7614.1597999999994</v>
      </c>
      <c r="L172" s="129">
        <v>8282.9214000000011</v>
      </c>
      <c r="M172" s="127">
        <v>7453.2197999999999</v>
      </c>
      <c r="N172" s="128">
        <v>6619.7975999999999</v>
      </c>
      <c r="O172" s="128">
        <v>7242.6796000000004</v>
      </c>
      <c r="P172" s="129">
        <v>8146.6944000000003</v>
      </c>
      <c r="Q172" s="127">
        <v>7304.5765000000001</v>
      </c>
      <c r="R172" s="128">
        <v>8206.9819000000007</v>
      </c>
      <c r="S172" s="134">
        <v>9239.2157000000007</v>
      </c>
      <c r="T172" s="135">
        <v>10299.528200000001</v>
      </c>
      <c r="U172" s="127">
        <v>8026.5821999999998</v>
      </c>
      <c r="V172" s="128">
        <v>8165.9630000000006</v>
      </c>
      <c r="W172" s="128">
        <v>10797.010900000001</v>
      </c>
      <c r="X172" s="129">
        <v>8950.3817000000017</v>
      </c>
      <c r="Y172" s="419">
        <v>7214.6620000000003</v>
      </c>
      <c r="Z172" s="420">
        <v>7569.0446000000002</v>
      </c>
      <c r="AA172" s="420">
        <v>8437.7306000000008</v>
      </c>
      <c r="AB172" s="418">
        <v>7324.5276000000003</v>
      </c>
      <c r="AH172" s="127">
        <f t="shared" si="32"/>
        <v>31655.104000000003</v>
      </c>
      <c r="AI172" s="128">
        <f t="shared" si="33"/>
        <v>29047.733</v>
      </c>
      <c r="AJ172" s="128">
        <f t="shared" si="34"/>
        <v>29462.3914</v>
      </c>
      <c r="AK172" s="128">
        <f t="shared" si="35"/>
        <v>35050.302300000003</v>
      </c>
      <c r="AL172" s="128">
        <f t="shared" si="36"/>
        <v>35939.9378</v>
      </c>
      <c r="AM172" s="128">
        <f t="shared" si="37"/>
        <v>30545.964800000002</v>
      </c>
    </row>
    <row r="173" spans="2:39" x14ac:dyDescent="0.25">
      <c r="B173" s="21" t="s">
        <v>188</v>
      </c>
      <c r="C173" s="888" t="s">
        <v>0</v>
      </c>
      <c r="D173" s="889" t="s">
        <v>269</v>
      </c>
      <c r="E173" s="121">
        <v>566.59720000000004</v>
      </c>
      <c r="F173" s="122">
        <v>522.54150000000004</v>
      </c>
      <c r="G173" s="122">
        <v>794.66010000000006</v>
      </c>
      <c r="H173" s="123">
        <v>596.64280000000008</v>
      </c>
      <c r="I173" s="121">
        <v>508.72769999999997</v>
      </c>
      <c r="J173" s="122">
        <v>1131.2755999999999</v>
      </c>
      <c r="K173" s="122">
        <v>1062.0714</v>
      </c>
      <c r="L173" s="123">
        <v>1107.7079000000001</v>
      </c>
      <c r="M173" s="121">
        <v>893.06359999999995</v>
      </c>
      <c r="N173" s="122">
        <v>684.67619999999999</v>
      </c>
      <c r="O173" s="122">
        <v>1006.6004</v>
      </c>
      <c r="P173" s="123">
        <v>1230.7035000000001</v>
      </c>
      <c r="Q173" s="121">
        <v>1177.8130000000001</v>
      </c>
      <c r="R173" s="122">
        <v>1641.9</v>
      </c>
      <c r="S173" s="136">
        <v>3323.8790000000004</v>
      </c>
      <c r="T173" s="137">
        <v>3937.6610000000001</v>
      </c>
      <c r="U173" s="121">
        <v>2277.1853000000001</v>
      </c>
      <c r="V173" s="122">
        <v>2435.0261</v>
      </c>
      <c r="W173" s="122">
        <v>3795.6165000000001</v>
      </c>
      <c r="X173" s="123">
        <v>2027.0718000000002</v>
      </c>
      <c r="Y173" s="412">
        <v>1966.3995</v>
      </c>
      <c r="Z173" s="413">
        <v>2005.1161000000002</v>
      </c>
      <c r="AA173" s="413">
        <v>3124.2588000000001</v>
      </c>
      <c r="AB173" s="414">
        <v>1851.6381000000001</v>
      </c>
      <c r="AH173" s="121">
        <f t="shared" si="32"/>
        <v>2480.4416000000001</v>
      </c>
      <c r="AI173" s="122">
        <f t="shared" si="33"/>
        <v>3809.7826000000005</v>
      </c>
      <c r="AJ173" s="122">
        <f t="shared" si="34"/>
        <v>3815.0436999999997</v>
      </c>
      <c r="AK173" s="122">
        <f t="shared" si="35"/>
        <v>10081.253000000001</v>
      </c>
      <c r="AL173" s="122">
        <f t="shared" si="36"/>
        <v>10534.8997</v>
      </c>
      <c r="AM173" s="122">
        <f t="shared" si="37"/>
        <v>8947.4125000000004</v>
      </c>
    </row>
    <row r="174" spans="2:39" x14ac:dyDescent="0.25">
      <c r="B174" s="21" t="s">
        <v>189</v>
      </c>
      <c r="C174" s="888" t="s">
        <v>0</v>
      </c>
      <c r="D174" s="889" t="s">
        <v>269</v>
      </c>
      <c r="E174" s="121">
        <v>6695.1066000000001</v>
      </c>
      <c r="F174" s="122">
        <v>7102.6319000000012</v>
      </c>
      <c r="G174" s="122">
        <v>8557.0835999999999</v>
      </c>
      <c r="H174" s="123">
        <v>6819.8402999999998</v>
      </c>
      <c r="I174" s="121">
        <v>6341.5923999999995</v>
      </c>
      <c r="J174" s="122">
        <v>5169.0561000000007</v>
      </c>
      <c r="K174" s="122">
        <v>6552.0883999999996</v>
      </c>
      <c r="L174" s="123">
        <v>7175.2135000000007</v>
      </c>
      <c r="M174" s="121">
        <v>6560.1562000000004</v>
      </c>
      <c r="N174" s="122">
        <v>5935.1214</v>
      </c>
      <c r="O174" s="122">
        <v>6236.0792000000001</v>
      </c>
      <c r="P174" s="123">
        <v>6915.9909000000007</v>
      </c>
      <c r="Q174" s="121">
        <v>6126.7635</v>
      </c>
      <c r="R174" s="122">
        <v>6565.081900000001</v>
      </c>
      <c r="S174" s="136">
        <v>5915.3366999999998</v>
      </c>
      <c r="T174" s="137">
        <v>6361.8672000000006</v>
      </c>
      <c r="U174" s="121">
        <v>5749.3968999999997</v>
      </c>
      <c r="V174" s="122">
        <v>5730.9369000000006</v>
      </c>
      <c r="W174" s="122">
        <v>7001.3943999999992</v>
      </c>
      <c r="X174" s="123">
        <v>6923.3099000000002</v>
      </c>
      <c r="Y174" s="412">
        <v>5248.2624999999998</v>
      </c>
      <c r="Z174" s="413">
        <v>5563.9285</v>
      </c>
      <c r="AA174" s="413">
        <v>5313.4718000000012</v>
      </c>
      <c r="AB174" s="414">
        <v>5472.8895000000002</v>
      </c>
      <c r="AH174" s="121">
        <f t="shared" si="32"/>
        <v>29174.662400000001</v>
      </c>
      <c r="AI174" s="122">
        <f t="shared" si="33"/>
        <v>25237.950400000002</v>
      </c>
      <c r="AJ174" s="122">
        <f t="shared" si="34"/>
        <v>25647.347700000002</v>
      </c>
      <c r="AK174" s="122">
        <f t="shared" si="35"/>
        <v>24969.049300000002</v>
      </c>
      <c r="AL174" s="122">
        <f t="shared" si="36"/>
        <v>25405.038099999998</v>
      </c>
      <c r="AM174" s="122">
        <f t="shared" si="37"/>
        <v>21598.552299999999</v>
      </c>
    </row>
    <row r="175" spans="2:39" x14ac:dyDescent="0.25">
      <c r="B175" s="21" t="s">
        <v>195</v>
      </c>
      <c r="C175" s="890" t="s">
        <v>0</v>
      </c>
      <c r="D175" s="891" t="s">
        <v>269</v>
      </c>
      <c r="E175" s="121">
        <v>1208.2148000000002</v>
      </c>
      <c r="F175" s="122">
        <v>1461.4561000000001</v>
      </c>
      <c r="G175" s="122">
        <v>1582.1246999999998</v>
      </c>
      <c r="H175" s="123">
        <v>1226.3953000000001</v>
      </c>
      <c r="I175" s="121">
        <v>1058.4820999999999</v>
      </c>
      <c r="J175" s="122">
        <v>1389.7455</v>
      </c>
      <c r="K175" s="122">
        <v>1163.3245000000002</v>
      </c>
      <c r="L175" s="123">
        <v>2374.0600000000004</v>
      </c>
      <c r="M175" s="121">
        <v>1885.6890000000001</v>
      </c>
      <c r="N175" s="122">
        <v>1242.0824000000002</v>
      </c>
      <c r="O175" s="122">
        <v>1802.0938000000001</v>
      </c>
      <c r="P175" s="123">
        <v>1427.6483000000001</v>
      </c>
      <c r="Q175" s="121">
        <v>1309.4445000000001</v>
      </c>
      <c r="R175" s="122">
        <v>1654.3150000000001</v>
      </c>
      <c r="S175" s="136">
        <v>1873.7550000000001</v>
      </c>
      <c r="T175" s="137">
        <v>1741.7972</v>
      </c>
      <c r="U175" s="121">
        <v>2101.9023999999999</v>
      </c>
      <c r="V175" s="122">
        <v>1800.8289</v>
      </c>
      <c r="W175" s="122">
        <v>4051.0248999999999</v>
      </c>
      <c r="X175" s="123">
        <v>2379.4446000000003</v>
      </c>
      <c r="Y175" s="412">
        <v>2106.9750000000004</v>
      </c>
      <c r="Z175" s="413">
        <v>1418.9851000000001</v>
      </c>
      <c r="AA175" s="413">
        <v>3261.7455</v>
      </c>
      <c r="AB175" s="414">
        <v>2015.5252</v>
      </c>
      <c r="AH175" s="121">
        <f t="shared" si="32"/>
        <v>5478.1908999999996</v>
      </c>
      <c r="AI175" s="122">
        <f t="shared" si="33"/>
        <v>5985.6121000000003</v>
      </c>
      <c r="AJ175" s="122">
        <f t="shared" si="34"/>
        <v>6357.5135</v>
      </c>
      <c r="AK175" s="122">
        <f t="shared" si="35"/>
        <v>6579.3117000000002</v>
      </c>
      <c r="AL175" s="122">
        <f t="shared" si="36"/>
        <v>10333.200800000001</v>
      </c>
      <c r="AM175" s="122">
        <f t="shared" si="37"/>
        <v>8803.2308000000012</v>
      </c>
    </row>
    <row r="176" spans="2:39" x14ac:dyDescent="0.25">
      <c r="B176" s="22" t="s">
        <v>247</v>
      </c>
      <c r="C176" s="892" t="s">
        <v>280</v>
      </c>
      <c r="D176" s="893"/>
      <c r="E176" s="124">
        <v>1597.4257000000002</v>
      </c>
      <c r="F176" s="125">
        <v>1813.2607999999998</v>
      </c>
      <c r="G176" s="125">
        <v>1730.2558000000001</v>
      </c>
      <c r="H176" s="126">
        <v>1679.0462</v>
      </c>
      <c r="I176" s="124">
        <v>1379.2714000000001</v>
      </c>
      <c r="J176" s="125">
        <v>1889.5292000000002</v>
      </c>
      <c r="K176" s="125">
        <v>1678.1882000000001</v>
      </c>
      <c r="L176" s="126">
        <v>1664.0584999999999</v>
      </c>
      <c r="M176" s="124">
        <v>2029.3208</v>
      </c>
      <c r="N176" s="125">
        <v>1941.0170000000001</v>
      </c>
      <c r="O176" s="125">
        <v>1864.0205999999998</v>
      </c>
      <c r="P176" s="126">
        <v>1618.8652999999999</v>
      </c>
      <c r="Q176" s="124">
        <v>1415.5440000000001</v>
      </c>
      <c r="R176" s="125">
        <v>2056.1606000000002</v>
      </c>
      <c r="S176" s="138">
        <v>1782.3844999999999</v>
      </c>
      <c r="T176" s="139">
        <v>1728.9025000000001</v>
      </c>
      <c r="U176" s="124">
        <v>1887.6818999999998</v>
      </c>
      <c r="V176" s="125">
        <v>1969.1945000000001</v>
      </c>
      <c r="W176" s="125">
        <v>1707.5318000000002</v>
      </c>
      <c r="X176" s="126">
        <v>2247.0825</v>
      </c>
      <c r="Y176" s="415">
        <v>1762.9728999999998</v>
      </c>
      <c r="Z176" s="416">
        <v>1808.5808000000002</v>
      </c>
      <c r="AA176" s="416">
        <v>1770.0683000000001</v>
      </c>
      <c r="AB176" s="417">
        <v>1727.7923000000001</v>
      </c>
      <c r="AH176" s="124">
        <f t="shared" si="32"/>
        <v>6819.9884999999995</v>
      </c>
      <c r="AI176" s="125">
        <f t="shared" si="33"/>
        <v>6611.0473000000011</v>
      </c>
      <c r="AJ176" s="125">
        <f t="shared" si="34"/>
        <v>7453.2237000000005</v>
      </c>
      <c r="AK176" s="125">
        <f t="shared" si="35"/>
        <v>6982.9916000000003</v>
      </c>
      <c r="AL176" s="125">
        <f t="shared" si="36"/>
        <v>7811.4907000000003</v>
      </c>
      <c r="AM176" s="125">
        <f t="shared" si="37"/>
        <v>7069.4143000000004</v>
      </c>
    </row>
    <row r="177" spans="2:39" x14ac:dyDescent="0.25">
      <c r="B177" s="22" t="s">
        <v>188</v>
      </c>
      <c r="C177" s="894"/>
      <c r="D177" s="895"/>
      <c r="E177" s="124">
        <v>241.04859999999999</v>
      </c>
      <c r="F177" s="125">
        <v>336.9821</v>
      </c>
      <c r="G177" s="125">
        <v>218.00739999999999</v>
      </c>
      <c r="H177" s="126">
        <v>234.44980000000001</v>
      </c>
      <c r="I177" s="124">
        <v>187.82010000000002</v>
      </c>
      <c r="J177" s="125">
        <v>190.31870000000001</v>
      </c>
      <c r="K177" s="125">
        <v>213.93189999999998</v>
      </c>
      <c r="L177" s="126">
        <v>237.8844</v>
      </c>
      <c r="M177" s="124">
        <v>174.12200000000001</v>
      </c>
      <c r="N177" s="125">
        <v>203.14320000000001</v>
      </c>
      <c r="O177" s="125">
        <v>217.92679999999999</v>
      </c>
      <c r="P177" s="126">
        <v>182.04939999999999</v>
      </c>
      <c r="Q177" s="124">
        <v>193.0266</v>
      </c>
      <c r="R177" s="125">
        <v>229.31480000000002</v>
      </c>
      <c r="S177" s="138">
        <v>165.22480000000002</v>
      </c>
      <c r="T177" s="139">
        <v>162.51429999999999</v>
      </c>
      <c r="U177" s="124">
        <v>145.33870000000002</v>
      </c>
      <c r="V177" s="125">
        <v>289.99620000000004</v>
      </c>
      <c r="W177" s="125">
        <v>151.0847</v>
      </c>
      <c r="X177" s="126">
        <v>187.95660000000001</v>
      </c>
      <c r="Y177" s="415">
        <v>80.034499999999994</v>
      </c>
      <c r="Z177" s="416">
        <v>170.99160000000001</v>
      </c>
      <c r="AA177" s="416">
        <v>115.4101</v>
      </c>
      <c r="AB177" s="417">
        <v>158.70269999999999</v>
      </c>
      <c r="AH177" s="124">
        <f t="shared" si="32"/>
        <v>1030.4879000000001</v>
      </c>
      <c r="AI177" s="125">
        <f t="shared" si="33"/>
        <v>829.95510000000002</v>
      </c>
      <c r="AJ177" s="125">
        <f t="shared" si="34"/>
        <v>777.2414</v>
      </c>
      <c r="AK177" s="125">
        <f t="shared" si="35"/>
        <v>750.08050000000003</v>
      </c>
      <c r="AL177" s="125">
        <f t="shared" si="36"/>
        <v>774.37620000000004</v>
      </c>
      <c r="AM177" s="125">
        <f t="shared" si="37"/>
        <v>525.13889999999992</v>
      </c>
    </row>
    <row r="178" spans="2:39" x14ac:dyDescent="0.25">
      <c r="B178" s="22" t="s">
        <v>189</v>
      </c>
      <c r="C178" s="894"/>
      <c r="D178" s="895"/>
      <c r="E178" s="124">
        <v>1356.3771000000002</v>
      </c>
      <c r="F178" s="125">
        <v>1476.2786999999998</v>
      </c>
      <c r="G178" s="125">
        <v>1512.2484000000002</v>
      </c>
      <c r="H178" s="126">
        <v>1444.5963999999999</v>
      </c>
      <c r="I178" s="124">
        <v>1191.4512999999999</v>
      </c>
      <c r="J178" s="125">
        <v>1699.2105000000001</v>
      </c>
      <c r="K178" s="125">
        <v>1464.2563</v>
      </c>
      <c r="L178" s="126">
        <v>1426.1741</v>
      </c>
      <c r="M178" s="124">
        <v>1855.1987999999999</v>
      </c>
      <c r="N178" s="125">
        <v>1737.8738000000001</v>
      </c>
      <c r="O178" s="125">
        <v>1646.0937999999999</v>
      </c>
      <c r="P178" s="126">
        <v>1436.8159000000001</v>
      </c>
      <c r="Q178" s="124">
        <v>1222.5174000000002</v>
      </c>
      <c r="R178" s="125">
        <v>1826.8458000000001</v>
      </c>
      <c r="S178" s="138">
        <v>1617.1596999999999</v>
      </c>
      <c r="T178" s="139">
        <v>1566.3881999999999</v>
      </c>
      <c r="U178" s="124">
        <v>1742.3431999999998</v>
      </c>
      <c r="V178" s="125">
        <v>1679.1983</v>
      </c>
      <c r="W178" s="125">
        <v>1556.4470999999999</v>
      </c>
      <c r="X178" s="126">
        <v>2059.1259</v>
      </c>
      <c r="Y178" s="415">
        <v>1682.9383999999998</v>
      </c>
      <c r="Z178" s="416">
        <v>1637.5891999999999</v>
      </c>
      <c r="AA178" s="416">
        <v>1654.6582000000001</v>
      </c>
      <c r="AB178" s="417">
        <v>1569.0896</v>
      </c>
      <c r="AH178" s="124">
        <f t="shared" si="32"/>
        <v>5789.5005999999994</v>
      </c>
      <c r="AI178" s="125">
        <f t="shared" si="33"/>
        <v>5781.0922</v>
      </c>
      <c r="AJ178" s="125">
        <f t="shared" si="34"/>
        <v>6675.9822999999997</v>
      </c>
      <c r="AK178" s="125">
        <f t="shared" si="35"/>
        <v>6232.9110999999994</v>
      </c>
      <c r="AL178" s="125">
        <f t="shared" si="36"/>
        <v>7037.1144999999997</v>
      </c>
      <c r="AM178" s="125">
        <f t="shared" si="37"/>
        <v>6544.2753999999995</v>
      </c>
    </row>
    <row r="179" spans="2:39" ht="15.75" thickBot="1" x14ac:dyDescent="0.3">
      <c r="B179" s="24" t="s">
        <v>195</v>
      </c>
      <c r="C179" s="896"/>
      <c r="D179" s="897"/>
      <c r="E179" s="130">
        <v>1040.8229000000001</v>
      </c>
      <c r="F179" s="131">
        <v>1432.2593999999999</v>
      </c>
      <c r="G179" s="131">
        <v>1345.7496000000001</v>
      </c>
      <c r="H179" s="132">
        <v>1383.7693999999999</v>
      </c>
      <c r="I179" s="130">
        <v>1031.9491</v>
      </c>
      <c r="J179" s="131">
        <v>1415.5297</v>
      </c>
      <c r="K179" s="131">
        <v>1406.1189999999999</v>
      </c>
      <c r="L179" s="132">
        <v>1333.098</v>
      </c>
      <c r="M179" s="130">
        <v>1677.6733999999999</v>
      </c>
      <c r="N179" s="131">
        <v>1543.3171000000002</v>
      </c>
      <c r="O179" s="131">
        <v>1572.6515999999999</v>
      </c>
      <c r="P179" s="132">
        <v>1232.413</v>
      </c>
      <c r="Q179" s="130">
        <v>990.19569999999999</v>
      </c>
      <c r="R179" s="131">
        <v>1719.7388000000001</v>
      </c>
      <c r="S179" s="140">
        <v>1494.8739</v>
      </c>
      <c r="T179" s="141">
        <v>1358.6248000000001</v>
      </c>
      <c r="U179" s="130">
        <v>1532.9768999999999</v>
      </c>
      <c r="V179" s="131">
        <v>1680.4957000000002</v>
      </c>
      <c r="W179" s="131">
        <v>1387.6902</v>
      </c>
      <c r="X179" s="132">
        <v>1817.7172</v>
      </c>
      <c r="Y179" s="436">
        <v>1447.8411999999998</v>
      </c>
      <c r="Z179" s="437">
        <v>1535.2662</v>
      </c>
      <c r="AA179" s="437">
        <v>1530.0337</v>
      </c>
      <c r="AB179" s="438">
        <v>1484.5805</v>
      </c>
      <c r="AH179" s="130">
        <f t="shared" si="32"/>
        <v>5202.6013000000003</v>
      </c>
      <c r="AI179" s="131">
        <f t="shared" si="33"/>
        <v>5186.6957999999995</v>
      </c>
      <c r="AJ179" s="131">
        <f t="shared" si="34"/>
        <v>6026.0550999999996</v>
      </c>
      <c r="AK179" s="131">
        <f t="shared" si="35"/>
        <v>5563.4331999999995</v>
      </c>
      <c r="AL179" s="131">
        <f t="shared" si="36"/>
        <v>6418.88</v>
      </c>
      <c r="AM179" s="131">
        <f t="shared" si="37"/>
        <v>5997.7215999999999</v>
      </c>
    </row>
    <row r="180" spans="2:39" x14ac:dyDescent="0.25">
      <c r="B180" s="20" t="s">
        <v>247</v>
      </c>
      <c r="C180" s="886" t="s">
        <v>281</v>
      </c>
      <c r="D180" s="887" t="s">
        <v>270</v>
      </c>
      <c r="E180" s="127">
        <v>77496.393000000011</v>
      </c>
      <c r="F180" s="128">
        <v>76867.950900000011</v>
      </c>
      <c r="G180" s="128">
        <v>79887.138500000001</v>
      </c>
      <c r="H180" s="129">
        <v>82543.199700000012</v>
      </c>
      <c r="I180" s="127">
        <v>77868.765000000014</v>
      </c>
      <c r="J180" s="128">
        <v>75931.585600000006</v>
      </c>
      <c r="K180" s="128">
        <v>76225.999200000006</v>
      </c>
      <c r="L180" s="129">
        <v>85659.525899999993</v>
      </c>
      <c r="M180" s="127">
        <v>78432.303299999985</v>
      </c>
      <c r="N180" s="128">
        <v>74202.046100000007</v>
      </c>
      <c r="O180" s="128">
        <v>78520.180699999997</v>
      </c>
      <c r="P180" s="129">
        <v>83984.396600000007</v>
      </c>
      <c r="Q180" s="127">
        <v>75351.794700000013</v>
      </c>
      <c r="R180" s="128">
        <v>76079.096600000004</v>
      </c>
      <c r="S180" s="134">
        <v>78934.794900000008</v>
      </c>
      <c r="T180" s="135">
        <v>85500.321399999986</v>
      </c>
      <c r="U180" s="127">
        <v>77890.416499999992</v>
      </c>
      <c r="V180" s="128">
        <v>78812.402500000011</v>
      </c>
      <c r="W180" s="128">
        <v>81622.431800000006</v>
      </c>
      <c r="X180" s="129">
        <v>85897.897800000006</v>
      </c>
      <c r="Y180" s="419">
        <v>76960.010399999999</v>
      </c>
      <c r="Z180" s="420">
        <v>73741.790200000003</v>
      </c>
      <c r="AA180" s="420">
        <v>74738.709500000012</v>
      </c>
      <c r="AB180" s="418">
        <v>82517.591000000015</v>
      </c>
      <c r="AH180" s="127">
        <f t="shared" si="32"/>
        <v>316794.68210000003</v>
      </c>
      <c r="AI180" s="128">
        <f t="shared" si="33"/>
        <v>315685.87570000003</v>
      </c>
      <c r="AJ180" s="128">
        <f t="shared" si="34"/>
        <v>315138.92670000001</v>
      </c>
      <c r="AK180" s="128">
        <f t="shared" si="35"/>
        <v>315866.00760000001</v>
      </c>
      <c r="AL180" s="128">
        <f t="shared" si="36"/>
        <v>324223.14860000007</v>
      </c>
      <c r="AM180" s="128">
        <f t="shared" si="37"/>
        <v>307958.10110000003</v>
      </c>
    </row>
    <row r="181" spans="2:39" x14ac:dyDescent="0.25">
      <c r="B181" s="21" t="s">
        <v>188</v>
      </c>
      <c r="C181" s="888" t="s">
        <v>0</v>
      </c>
      <c r="D181" s="889" t="s">
        <v>269</v>
      </c>
      <c r="E181" s="121">
        <v>63181.661400000005</v>
      </c>
      <c r="F181" s="122">
        <v>61864.699000000001</v>
      </c>
      <c r="G181" s="122">
        <v>63032.495499999997</v>
      </c>
      <c r="H181" s="123">
        <v>67327.310700000002</v>
      </c>
      <c r="I181" s="121">
        <v>63198.707000000002</v>
      </c>
      <c r="J181" s="122">
        <v>62827.219000000005</v>
      </c>
      <c r="K181" s="122">
        <v>61277.842600000004</v>
      </c>
      <c r="L181" s="123">
        <v>69847.839099999997</v>
      </c>
      <c r="M181" s="121">
        <v>62921.692599999995</v>
      </c>
      <c r="N181" s="122">
        <v>59569.511299999998</v>
      </c>
      <c r="O181" s="122">
        <v>63104.739100000006</v>
      </c>
      <c r="P181" s="123">
        <v>66874.791100000002</v>
      </c>
      <c r="Q181" s="121">
        <v>60213.323300000004</v>
      </c>
      <c r="R181" s="122">
        <v>60238.746099999997</v>
      </c>
      <c r="S181" s="136">
        <v>64082.057000000001</v>
      </c>
      <c r="T181" s="137">
        <v>69417.731499999994</v>
      </c>
      <c r="U181" s="121">
        <v>62748.368799999997</v>
      </c>
      <c r="V181" s="122">
        <v>63328.26890000001</v>
      </c>
      <c r="W181" s="122">
        <v>65553.329400000002</v>
      </c>
      <c r="X181" s="123">
        <v>70018.059800000003</v>
      </c>
      <c r="Y181" s="412">
        <v>63042.461300000003</v>
      </c>
      <c r="Z181" s="413">
        <v>59575.480900000002</v>
      </c>
      <c r="AA181" s="413">
        <v>61189.1319</v>
      </c>
      <c r="AB181" s="414">
        <v>67835.44690000001</v>
      </c>
      <c r="AH181" s="121">
        <f t="shared" si="32"/>
        <v>255406.1666</v>
      </c>
      <c r="AI181" s="122">
        <f t="shared" si="33"/>
        <v>257151.60769999999</v>
      </c>
      <c r="AJ181" s="122">
        <f t="shared" si="34"/>
        <v>252470.7341</v>
      </c>
      <c r="AK181" s="122">
        <f t="shared" si="35"/>
        <v>253951.8579</v>
      </c>
      <c r="AL181" s="122">
        <f t="shared" si="36"/>
        <v>261648.0269</v>
      </c>
      <c r="AM181" s="122">
        <f t="shared" si="37"/>
        <v>251642.52100000001</v>
      </c>
    </row>
    <row r="182" spans="2:39" x14ac:dyDescent="0.25">
      <c r="B182" s="21" t="s">
        <v>189</v>
      </c>
      <c r="C182" s="888" t="s">
        <v>0</v>
      </c>
      <c r="D182" s="889" t="s">
        <v>269</v>
      </c>
      <c r="E182" s="121">
        <v>14314.731599999999</v>
      </c>
      <c r="F182" s="122">
        <v>15003.251900000001</v>
      </c>
      <c r="G182" s="122">
        <v>16854.643000000004</v>
      </c>
      <c r="H182" s="123">
        <v>15215.888999999999</v>
      </c>
      <c r="I182" s="121">
        <v>14670.058000000001</v>
      </c>
      <c r="J182" s="122">
        <v>13104.366600000001</v>
      </c>
      <c r="K182" s="122">
        <v>14948.156599999998</v>
      </c>
      <c r="L182" s="123">
        <v>15811.686799999999</v>
      </c>
      <c r="M182" s="121">
        <v>15510.610700000001</v>
      </c>
      <c r="N182" s="122">
        <v>14632.534800000001</v>
      </c>
      <c r="O182" s="122">
        <v>15415.4416</v>
      </c>
      <c r="P182" s="123">
        <v>17109.605500000001</v>
      </c>
      <c r="Q182" s="121">
        <v>15138.4714</v>
      </c>
      <c r="R182" s="122">
        <v>15840.3505</v>
      </c>
      <c r="S182" s="136">
        <v>14852.737900000002</v>
      </c>
      <c r="T182" s="137">
        <v>16082.589899999999</v>
      </c>
      <c r="U182" s="121">
        <v>15142.047699999999</v>
      </c>
      <c r="V182" s="122">
        <v>15484.133600000001</v>
      </c>
      <c r="W182" s="122">
        <v>16069.1024</v>
      </c>
      <c r="X182" s="123">
        <v>15879.838</v>
      </c>
      <c r="Y182" s="412">
        <v>13917.5491</v>
      </c>
      <c r="Z182" s="413">
        <v>14166.309300000001</v>
      </c>
      <c r="AA182" s="413">
        <v>13549.577600000001</v>
      </c>
      <c r="AB182" s="414">
        <v>14682.1441</v>
      </c>
      <c r="AH182" s="121">
        <f t="shared" si="32"/>
        <v>61388.515500000009</v>
      </c>
      <c r="AI182" s="122">
        <f t="shared" si="33"/>
        <v>58534.267999999996</v>
      </c>
      <c r="AJ182" s="122">
        <f t="shared" si="34"/>
        <v>62668.192600000009</v>
      </c>
      <c r="AK182" s="122">
        <f t="shared" si="35"/>
        <v>61914.149700000002</v>
      </c>
      <c r="AL182" s="122">
        <f t="shared" si="36"/>
        <v>62575.121700000003</v>
      </c>
      <c r="AM182" s="122">
        <f t="shared" si="37"/>
        <v>56315.580099999999</v>
      </c>
    </row>
    <row r="183" spans="2:39" x14ac:dyDescent="0.25">
      <c r="B183" s="21" t="s">
        <v>195</v>
      </c>
      <c r="C183" s="890" t="s">
        <v>0</v>
      </c>
      <c r="D183" s="891" t="s">
        <v>269</v>
      </c>
      <c r="E183" s="121">
        <v>10267.406500000001</v>
      </c>
      <c r="F183" s="122">
        <v>10922.3426</v>
      </c>
      <c r="G183" s="122">
        <v>11021.583300000002</v>
      </c>
      <c r="H183" s="123">
        <v>12707.0762</v>
      </c>
      <c r="I183" s="121">
        <v>12593.7734</v>
      </c>
      <c r="J183" s="122">
        <v>11519.2948</v>
      </c>
      <c r="K183" s="122">
        <v>11671.9161</v>
      </c>
      <c r="L183" s="123">
        <v>14998.018100000001</v>
      </c>
      <c r="M183" s="121">
        <v>13458.3657</v>
      </c>
      <c r="N183" s="122">
        <v>11962.9211</v>
      </c>
      <c r="O183" s="122">
        <v>13404.587299999999</v>
      </c>
      <c r="P183" s="123">
        <v>14931.3411</v>
      </c>
      <c r="Q183" s="121">
        <v>12914.344300000001</v>
      </c>
      <c r="R183" s="122">
        <v>13672.438</v>
      </c>
      <c r="S183" s="136">
        <v>13383.125599999999</v>
      </c>
      <c r="T183" s="137">
        <v>14898.015599999999</v>
      </c>
      <c r="U183" s="121">
        <v>14050.2518</v>
      </c>
      <c r="V183" s="122">
        <v>13692.688099999999</v>
      </c>
      <c r="W183" s="122">
        <v>15594.227999999999</v>
      </c>
      <c r="X183" s="123">
        <v>15184.949000000001</v>
      </c>
      <c r="Y183" s="412">
        <v>12806.855100000001</v>
      </c>
      <c r="Z183" s="413">
        <v>11428.701700000001</v>
      </c>
      <c r="AA183" s="413">
        <v>14017.5113</v>
      </c>
      <c r="AB183" s="414">
        <v>15624.4439</v>
      </c>
      <c r="AH183" s="121">
        <f t="shared" si="32"/>
        <v>44918.408600000002</v>
      </c>
      <c r="AI183" s="122">
        <f t="shared" si="33"/>
        <v>50783.002400000005</v>
      </c>
      <c r="AJ183" s="122">
        <f t="shared" si="34"/>
        <v>53757.215199999999</v>
      </c>
      <c r="AK183" s="122">
        <f t="shared" si="35"/>
        <v>54867.923499999997</v>
      </c>
      <c r="AL183" s="122">
        <f t="shared" si="36"/>
        <v>58522.116900000001</v>
      </c>
      <c r="AM183" s="122">
        <f t="shared" si="37"/>
        <v>53877.512000000002</v>
      </c>
    </row>
    <row r="184" spans="2:39" x14ac:dyDescent="0.25">
      <c r="B184" s="22" t="s">
        <v>247</v>
      </c>
      <c r="C184" s="892" t="s">
        <v>282</v>
      </c>
      <c r="D184" s="893"/>
      <c r="E184" s="124">
        <v>110160.24630000001</v>
      </c>
      <c r="F184" s="125">
        <v>104235.8603</v>
      </c>
      <c r="G184" s="125">
        <v>98663.012499999997</v>
      </c>
      <c r="H184" s="126">
        <v>102455.30750000001</v>
      </c>
      <c r="I184" s="124">
        <v>102648.74100000002</v>
      </c>
      <c r="J184" s="125">
        <v>100698.97110000001</v>
      </c>
      <c r="K184" s="125">
        <v>90181.140400000004</v>
      </c>
      <c r="L184" s="126">
        <v>93918.480500000005</v>
      </c>
      <c r="M184" s="124">
        <v>93558.415600000008</v>
      </c>
      <c r="N184" s="125">
        <v>91679.437200000015</v>
      </c>
      <c r="O184" s="125">
        <v>88666.957599999994</v>
      </c>
      <c r="P184" s="126">
        <v>89623.097200000004</v>
      </c>
      <c r="Q184" s="124">
        <v>90502.556300000011</v>
      </c>
      <c r="R184" s="125">
        <v>89628.044999999998</v>
      </c>
      <c r="S184" s="138">
        <v>86987.192500000005</v>
      </c>
      <c r="T184" s="139">
        <v>94706.670500000007</v>
      </c>
      <c r="U184" s="124">
        <v>93727.913499999995</v>
      </c>
      <c r="V184" s="125">
        <v>89609.280800000008</v>
      </c>
      <c r="W184" s="125">
        <v>88936.135600000023</v>
      </c>
      <c r="X184" s="126">
        <v>94517.655700000003</v>
      </c>
      <c r="Y184" s="406">
        <v>96430.201399999991</v>
      </c>
      <c r="Z184" s="407">
        <v>91588.548999999999</v>
      </c>
      <c r="AA184" s="407">
        <v>88393.122999999992</v>
      </c>
      <c r="AB184" s="408">
        <v>92286.443599999999</v>
      </c>
      <c r="AH184" s="124">
        <f t="shared" si="32"/>
        <v>415514.42660000001</v>
      </c>
      <c r="AI184" s="125">
        <f t="shared" si="33"/>
        <v>387447.33300000004</v>
      </c>
      <c r="AJ184" s="125">
        <f t="shared" si="34"/>
        <v>363527.90760000004</v>
      </c>
      <c r="AK184" s="125">
        <f t="shared" si="35"/>
        <v>361824.46429999999</v>
      </c>
      <c r="AL184" s="125">
        <f t="shared" si="36"/>
        <v>366790.98560000001</v>
      </c>
      <c r="AM184" s="125">
        <f t="shared" si="37"/>
        <v>368698.31699999998</v>
      </c>
    </row>
    <row r="185" spans="2:39" x14ac:dyDescent="0.25">
      <c r="B185" s="22" t="s">
        <v>188</v>
      </c>
      <c r="C185" s="894"/>
      <c r="D185" s="895"/>
      <c r="E185" s="124">
        <v>83013.840000000011</v>
      </c>
      <c r="F185" s="125">
        <v>79489.931299999997</v>
      </c>
      <c r="G185" s="125">
        <v>74608.3</v>
      </c>
      <c r="H185" s="126">
        <v>76591.444799999997</v>
      </c>
      <c r="I185" s="124">
        <v>75485.798700000014</v>
      </c>
      <c r="J185" s="125">
        <v>74399.305500000002</v>
      </c>
      <c r="K185" s="125">
        <v>66225.679000000004</v>
      </c>
      <c r="L185" s="126">
        <v>67900.535300000003</v>
      </c>
      <c r="M185" s="124">
        <v>66724.789300000004</v>
      </c>
      <c r="N185" s="125">
        <v>65943.400900000008</v>
      </c>
      <c r="O185" s="125">
        <v>63391.742700000003</v>
      </c>
      <c r="P185" s="126">
        <v>64180.942800000004</v>
      </c>
      <c r="Q185" s="124">
        <v>64249.368300000002</v>
      </c>
      <c r="R185" s="125">
        <v>63994.135399999999</v>
      </c>
      <c r="S185" s="138">
        <v>60174.691200000001</v>
      </c>
      <c r="T185" s="139">
        <v>65442.572</v>
      </c>
      <c r="U185" s="124">
        <v>63371.411999999997</v>
      </c>
      <c r="V185" s="125">
        <v>62758.5478</v>
      </c>
      <c r="W185" s="125">
        <v>62595.323700000008</v>
      </c>
      <c r="X185" s="126">
        <v>65515.691800000001</v>
      </c>
      <c r="Y185" s="406">
        <v>66269.537100000001</v>
      </c>
      <c r="Z185" s="407">
        <v>65292.630000000005</v>
      </c>
      <c r="AA185" s="407">
        <v>64159.410900000003</v>
      </c>
      <c r="AB185" s="408">
        <v>67151.416800000006</v>
      </c>
      <c r="AH185" s="124">
        <f t="shared" si="32"/>
        <v>313703.51610000001</v>
      </c>
      <c r="AI185" s="125">
        <f t="shared" si="33"/>
        <v>284011.31849999999</v>
      </c>
      <c r="AJ185" s="125">
        <f t="shared" si="34"/>
        <v>260240.87570000003</v>
      </c>
      <c r="AK185" s="125">
        <f t="shared" si="35"/>
        <v>253860.76689999999</v>
      </c>
      <c r="AL185" s="125">
        <f t="shared" si="36"/>
        <v>254240.97530000002</v>
      </c>
      <c r="AM185" s="125">
        <f t="shared" si="37"/>
        <v>262872.99480000004</v>
      </c>
    </row>
    <row r="186" spans="2:39" x14ac:dyDescent="0.25">
      <c r="B186" s="22" t="s">
        <v>189</v>
      </c>
      <c r="C186" s="894"/>
      <c r="D186" s="895"/>
      <c r="E186" s="124">
        <v>27146.406300000002</v>
      </c>
      <c r="F186" s="125">
        <v>24745.929</v>
      </c>
      <c r="G186" s="125">
        <v>24054.712499999998</v>
      </c>
      <c r="H186" s="126">
        <v>25863.862700000005</v>
      </c>
      <c r="I186" s="124">
        <v>27162.942300000002</v>
      </c>
      <c r="J186" s="125">
        <v>26299.6656</v>
      </c>
      <c r="K186" s="125">
        <v>23955.4614</v>
      </c>
      <c r="L186" s="126">
        <v>26017.945199999998</v>
      </c>
      <c r="M186" s="124">
        <v>26833.6263</v>
      </c>
      <c r="N186" s="125">
        <v>25736.0363</v>
      </c>
      <c r="O186" s="125">
        <v>25275.214899999999</v>
      </c>
      <c r="P186" s="126">
        <v>25442.154399999999</v>
      </c>
      <c r="Q186" s="124">
        <v>26253.188000000002</v>
      </c>
      <c r="R186" s="125">
        <v>25633.909600000003</v>
      </c>
      <c r="S186" s="138">
        <v>26812.501300000004</v>
      </c>
      <c r="T186" s="139">
        <v>29264.0985</v>
      </c>
      <c r="U186" s="124">
        <v>30356.501500000002</v>
      </c>
      <c r="V186" s="125">
        <v>26850.733000000004</v>
      </c>
      <c r="W186" s="125">
        <v>26340.811900000004</v>
      </c>
      <c r="X186" s="126">
        <v>29001.963899999999</v>
      </c>
      <c r="Y186" s="406">
        <v>30160.6643</v>
      </c>
      <c r="Z186" s="407">
        <v>26295.919000000002</v>
      </c>
      <c r="AA186" s="407">
        <v>24233.712100000001</v>
      </c>
      <c r="AB186" s="408">
        <v>25135.026800000003</v>
      </c>
      <c r="AH186" s="124">
        <f t="shared" si="32"/>
        <v>101810.9105</v>
      </c>
      <c r="AI186" s="125">
        <f t="shared" si="33"/>
        <v>103436.0145</v>
      </c>
      <c r="AJ186" s="125">
        <f t="shared" si="34"/>
        <v>103287.0319</v>
      </c>
      <c r="AK186" s="125">
        <f t="shared" si="35"/>
        <v>107963.6974</v>
      </c>
      <c r="AL186" s="125">
        <f t="shared" si="36"/>
        <v>112550.01030000001</v>
      </c>
      <c r="AM186" s="125">
        <f t="shared" si="37"/>
        <v>105825.32220000001</v>
      </c>
    </row>
    <row r="187" spans="2:39" ht="15.75" thickBot="1" x14ac:dyDescent="0.3">
      <c r="B187" s="24" t="s">
        <v>195</v>
      </c>
      <c r="C187" s="896"/>
      <c r="D187" s="897"/>
      <c r="E187" s="130">
        <v>60926.09120000001</v>
      </c>
      <c r="F187" s="131">
        <v>60839.790699999998</v>
      </c>
      <c r="G187" s="131">
        <v>58601.255700000002</v>
      </c>
      <c r="H187" s="132">
        <v>61335.9617</v>
      </c>
      <c r="I187" s="130">
        <v>61121.638500000001</v>
      </c>
      <c r="J187" s="131">
        <v>61340.496100000004</v>
      </c>
      <c r="K187" s="131">
        <v>57107.183900000004</v>
      </c>
      <c r="L187" s="132">
        <v>60300.407700000003</v>
      </c>
      <c r="M187" s="130">
        <v>59018.202099999995</v>
      </c>
      <c r="N187" s="131">
        <v>57330.559000000008</v>
      </c>
      <c r="O187" s="131">
        <v>56951.207300000002</v>
      </c>
      <c r="P187" s="132">
        <v>55533.416899999997</v>
      </c>
      <c r="Q187" s="130">
        <v>57007.882100000003</v>
      </c>
      <c r="R187" s="131">
        <v>56788.707300000002</v>
      </c>
      <c r="S187" s="140">
        <v>57187.756600000001</v>
      </c>
      <c r="T187" s="141">
        <v>61045.411700000004</v>
      </c>
      <c r="U187" s="130">
        <v>61371.979500000001</v>
      </c>
      <c r="V187" s="131">
        <v>57910.351200000005</v>
      </c>
      <c r="W187" s="131">
        <v>58522.289800000006</v>
      </c>
      <c r="X187" s="132">
        <v>61012.208400000003</v>
      </c>
      <c r="Y187" s="409">
        <v>63346.117899999997</v>
      </c>
      <c r="Z187" s="410">
        <v>59154.524000000005</v>
      </c>
      <c r="AA187" s="410">
        <v>58074.378700000001</v>
      </c>
      <c r="AB187" s="411">
        <v>59363.833100000003</v>
      </c>
      <c r="AH187" s="130">
        <f t="shared" si="32"/>
        <v>241703.0993</v>
      </c>
      <c r="AI187" s="131">
        <f t="shared" si="33"/>
        <v>239869.7262</v>
      </c>
      <c r="AJ187" s="131">
        <f t="shared" si="34"/>
        <v>228833.38530000002</v>
      </c>
      <c r="AK187" s="131">
        <f t="shared" si="35"/>
        <v>232029.75769999999</v>
      </c>
      <c r="AL187" s="131">
        <f t="shared" si="36"/>
        <v>238816.82890000002</v>
      </c>
      <c r="AM187" s="131">
        <f t="shared" si="37"/>
        <v>239938.85369999998</v>
      </c>
    </row>
    <row r="188" spans="2:39" x14ac:dyDescent="0.25">
      <c r="B188" s="20" t="s">
        <v>247</v>
      </c>
      <c r="C188" s="886" t="s">
        <v>273</v>
      </c>
      <c r="D188" s="887"/>
      <c r="E188" s="127">
        <v>0.13</v>
      </c>
      <c r="F188" s="128">
        <v>0</v>
      </c>
      <c r="G188" s="128">
        <v>37.700000000000003</v>
      </c>
      <c r="H188" s="129">
        <v>165.75</v>
      </c>
      <c r="I188" s="127">
        <v>4.42</v>
      </c>
      <c r="J188" s="128">
        <v>11.7</v>
      </c>
      <c r="K188" s="128">
        <v>2.73</v>
      </c>
      <c r="L188" s="129">
        <v>0.78</v>
      </c>
      <c r="M188" s="127">
        <v>822.64</v>
      </c>
      <c r="N188" s="128">
        <v>170.3</v>
      </c>
      <c r="O188" s="128">
        <v>201.89</v>
      </c>
      <c r="P188" s="129">
        <v>461.11</v>
      </c>
      <c r="Q188" s="127">
        <v>556.66</v>
      </c>
      <c r="R188" s="128">
        <v>661.57</v>
      </c>
      <c r="S188" s="134">
        <v>1011.4</v>
      </c>
      <c r="T188" s="135">
        <v>866.06</v>
      </c>
      <c r="U188" s="127">
        <v>553.28000000000009</v>
      </c>
      <c r="V188" s="128">
        <v>650.13000000000011</v>
      </c>
      <c r="W188" s="128">
        <v>761.41000000000008</v>
      </c>
      <c r="X188" s="129">
        <v>691.34</v>
      </c>
      <c r="Y188" s="403">
        <v>1675.05</v>
      </c>
      <c r="Z188" s="404">
        <v>1511.1200000000001</v>
      </c>
      <c r="AA188" s="404">
        <v>1594.9700000000003</v>
      </c>
      <c r="AB188" s="405">
        <v>4944.55</v>
      </c>
      <c r="AH188" s="127">
        <f t="shared" si="32"/>
        <v>203.58</v>
      </c>
      <c r="AI188" s="128">
        <f t="shared" si="33"/>
        <v>19.63</v>
      </c>
      <c r="AJ188" s="128">
        <f t="shared" si="34"/>
        <v>1655.94</v>
      </c>
      <c r="AK188" s="128">
        <f t="shared" si="35"/>
        <v>3095.69</v>
      </c>
      <c r="AL188" s="128">
        <f t="shared" si="36"/>
        <v>2656.1600000000003</v>
      </c>
      <c r="AM188" s="128">
        <f t="shared" si="37"/>
        <v>9725.69</v>
      </c>
    </row>
    <row r="189" spans="2:39" x14ac:dyDescent="0.25">
      <c r="B189" s="21" t="s">
        <v>188</v>
      </c>
      <c r="C189" s="888"/>
      <c r="D189" s="889"/>
      <c r="E189" s="121">
        <v>0.13</v>
      </c>
      <c r="F189" s="122">
        <v>0</v>
      </c>
      <c r="G189" s="122">
        <v>0</v>
      </c>
      <c r="H189" s="123">
        <v>32.5</v>
      </c>
      <c r="I189" s="121">
        <v>0</v>
      </c>
      <c r="J189" s="122">
        <v>0</v>
      </c>
      <c r="K189" s="122">
        <v>0</v>
      </c>
      <c r="L189" s="123">
        <v>0.78</v>
      </c>
      <c r="M189" s="121">
        <v>88.66</v>
      </c>
      <c r="N189" s="122">
        <v>25.22</v>
      </c>
      <c r="O189" s="122">
        <v>27.82</v>
      </c>
      <c r="P189" s="123">
        <v>15.73</v>
      </c>
      <c r="Q189" s="121">
        <v>26.78</v>
      </c>
      <c r="R189" s="122">
        <v>93.6</v>
      </c>
      <c r="S189" s="136">
        <v>126.62</v>
      </c>
      <c r="T189" s="137">
        <v>56.29</v>
      </c>
      <c r="U189" s="121">
        <v>118.82000000000002</v>
      </c>
      <c r="V189" s="122">
        <v>55.250000000000007</v>
      </c>
      <c r="W189" s="122">
        <v>99.45</v>
      </c>
      <c r="X189" s="123">
        <v>62.010000000000005</v>
      </c>
      <c r="Y189" s="412">
        <v>96.98</v>
      </c>
      <c r="Z189" s="413">
        <v>80.210000000000008</v>
      </c>
      <c r="AA189" s="413">
        <v>50.7</v>
      </c>
      <c r="AB189" s="414">
        <v>153.53</v>
      </c>
      <c r="AH189" s="121">
        <f t="shared" si="32"/>
        <v>32.630000000000003</v>
      </c>
      <c r="AI189" s="122">
        <f t="shared" si="33"/>
        <v>0.78</v>
      </c>
      <c r="AJ189" s="122">
        <f t="shared" si="34"/>
        <v>157.42999999999998</v>
      </c>
      <c r="AK189" s="122">
        <f t="shared" si="35"/>
        <v>303.29000000000002</v>
      </c>
      <c r="AL189" s="122">
        <f t="shared" si="36"/>
        <v>335.53000000000003</v>
      </c>
      <c r="AM189" s="122">
        <f t="shared" si="37"/>
        <v>381.41999999999996</v>
      </c>
    </row>
    <row r="190" spans="2:39" x14ac:dyDescent="0.25">
      <c r="B190" s="21" t="s">
        <v>189</v>
      </c>
      <c r="C190" s="888"/>
      <c r="D190" s="889"/>
      <c r="E190" s="121">
        <v>0</v>
      </c>
      <c r="F190" s="122">
        <v>0</v>
      </c>
      <c r="G190" s="122">
        <v>37.700000000000003</v>
      </c>
      <c r="H190" s="123">
        <v>133.25</v>
      </c>
      <c r="I190" s="121">
        <v>4.42</v>
      </c>
      <c r="J190" s="122">
        <v>11.7</v>
      </c>
      <c r="K190" s="122">
        <v>2.73</v>
      </c>
      <c r="L190" s="123">
        <v>0</v>
      </c>
      <c r="M190" s="121">
        <v>733.98</v>
      </c>
      <c r="N190" s="122">
        <v>145.08000000000001</v>
      </c>
      <c r="O190" s="122">
        <v>174.07</v>
      </c>
      <c r="P190" s="123">
        <v>445.38</v>
      </c>
      <c r="Q190" s="121">
        <v>529.88</v>
      </c>
      <c r="R190" s="122">
        <v>567.97</v>
      </c>
      <c r="S190" s="136">
        <v>884.78</v>
      </c>
      <c r="T190" s="137">
        <v>809.77</v>
      </c>
      <c r="U190" s="121">
        <v>434.46000000000004</v>
      </c>
      <c r="V190" s="122">
        <v>594.88</v>
      </c>
      <c r="W190" s="122">
        <v>661.96</v>
      </c>
      <c r="X190" s="123">
        <v>629.33000000000004</v>
      </c>
      <c r="Y190" s="421">
        <v>1578.07</v>
      </c>
      <c r="Z190" s="422">
        <v>1430.91</v>
      </c>
      <c r="AA190" s="422">
        <v>1544.27</v>
      </c>
      <c r="AB190" s="423">
        <v>4791.0200000000004</v>
      </c>
      <c r="AH190" s="121">
        <f t="shared" si="32"/>
        <v>170.95</v>
      </c>
      <c r="AI190" s="122">
        <f t="shared" si="33"/>
        <v>18.849999999999998</v>
      </c>
      <c r="AJ190" s="122">
        <f t="shared" si="34"/>
        <v>1498.5100000000002</v>
      </c>
      <c r="AK190" s="122">
        <f t="shared" si="35"/>
        <v>2792.3999999999996</v>
      </c>
      <c r="AL190" s="122">
        <f t="shared" si="36"/>
        <v>2320.63</v>
      </c>
      <c r="AM190" s="122">
        <f t="shared" si="37"/>
        <v>9344.27</v>
      </c>
    </row>
    <row r="191" spans="2:39" x14ac:dyDescent="0.25">
      <c r="B191" s="21" t="s">
        <v>195</v>
      </c>
      <c r="C191" s="890"/>
      <c r="D191" s="891"/>
      <c r="E191" s="121">
        <v>0.13</v>
      </c>
      <c r="F191" s="122">
        <v>0</v>
      </c>
      <c r="G191" s="122">
        <v>36.4</v>
      </c>
      <c r="H191" s="123">
        <v>133.25</v>
      </c>
      <c r="I191" s="121">
        <v>0</v>
      </c>
      <c r="J191" s="122">
        <v>0</v>
      </c>
      <c r="K191" s="122">
        <v>1.17</v>
      </c>
      <c r="L191" s="123">
        <v>0.52</v>
      </c>
      <c r="M191" s="121">
        <v>726.96</v>
      </c>
      <c r="N191" s="122">
        <v>103.61</v>
      </c>
      <c r="O191" s="122">
        <v>144.16999999999999</v>
      </c>
      <c r="P191" s="123">
        <v>260.52</v>
      </c>
      <c r="Q191" s="121">
        <v>201.63</v>
      </c>
      <c r="R191" s="122">
        <v>369.85</v>
      </c>
      <c r="S191" s="136">
        <v>559</v>
      </c>
      <c r="T191" s="137">
        <v>303.94</v>
      </c>
      <c r="U191" s="121">
        <v>354.12</v>
      </c>
      <c r="V191" s="122">
        <v>255.97</v>
      </c>
      <c r="W191" s="122">
        <v>216.32000000000002</v>
      </c>
      <c r="X191" s="123">
        <v>150.28</v>
      </c>
      <c r="Y191" s="421">
        <v>282.10000000000002</v>
      </c>
      <c r="Z191" s="422">
        <v>364.39000000000004</v>
      </c>
      <c r="AA191" s="422">
        <v>596.57000000000005</v>
      </c>
      <c r="AB191" s="423">
        <v>2915.25</v>
      </c>
      <c r="AH191" s="121">
        <f t="shared" si="32"/>
        <v>169.78</v>
      </c>
      <c r="AI191" s="122">
        <f t="shared" si="33"/>
        <v>1.69</v>
      </c>
      <c r="AJ191" s="122">
        <f t="shared" si="34"/>
        <v>1235.26</v>
      </c>
      <c r="AK191" s="122">
        <f t="shared" si="35"/>
        <v>1434.42</v>
      </c>
      <c r="AL191" s="122">
        <f t="shared" si="36"/>
        <v>976.69</v>
      </c>
      <c r="AM191" s="122">
        <f t="shared" si="37"/>
        <v>4158.3099999999995</v>
      </c>
    </row>
    <row r="192" spans="2:39" x14ac:dyDescent="0.25">
      <c r="B192" s="22" t="s">
        <v>247</v>
      </c>
      <c r="C192" s="892" t="s">
        <v>274</v>
      </c>
      <c r="D192" s="893"/>
      <c r="E192" s="124">
        <v>226.07</v>
      </c>
      <c r="F192" s="125">
        <v>201.37</v>
      </c>
      <c r="G192" s="125">
        <v>221.39</v>
      </c>
      <c r="H192" s="126">
        <v>127.01</v>
      </c>
      <c r="I192" s="124">
        <v>121.55</v>
      </c>
      <c r="J192" s="125">
        <v>138.84</v>
      </c>
      <c r="K192" s="125">
        <v>71.37</v>
      </c>
      <c r="L192" s="126">
        <v>96.72</v>
      </c>
      <c r="M192" s="124">
        <v>120.64</v>
      </c>
      <c r="N192" s="125">
        <v>61.49</v>
      </c>
      <c r="O192" s="125">
        <v>115.44</v>
      </c>
      <c r="P192" s="126">
        <v>115.7</v>
      </c>
      <c r="Q192" s="124">
        <v>107.51</v>
      </c>
      <c r="R192" s="125">
        <v>138.19</v>
      </c>
      <c r="S192" s="138">
        <v>126.1</v>
      </c>
      <c r="T192" s="139">
        <v>142.87</v>
      </c>
      <c r="U192" s="124">
        <v>209.95</v>
      </c>
      <c r="V192" s="125">
        <v>304.2</v>
      </c>
      <c r="W192" s="125">
        <v>119.34000000000002</v>
      </c>
      <c r="X192" s="126">
        <v>723.32</v>
      </c>
      <c r="Y192" s="415">
        <v>624.52</v>
      </c>
      <c r="Z192" s="416">
        <v>533.13</v>
      </c>
      <c r="AA192" s="416">
        <v>516.75</v>
      </c>
      <c r="AB192" s="417">
        <v>862.03</v>
      </c>
      <c r="AH192" s="124">
        <f t="shared" si="32"/>
        <v>775.83999999999992</v>
      </c>
      <c r="AI192" s="125">
        <f t="shared" si="33"/>
        <v>428.48</v>
      </c>
      <c r="AJ192" s="125">
        <f t="shared" si="34"/>
        <v>413.27</v>
      </c>
      <c r="AK192" s="125">
        <f t="shared" si="35"/>
        <v>514.66999999999996</v>
      </c>
      <c r="AL192" s="125">
        <f t="shared" si="36"/>
        <v>1356.81</v>
      </c>
      <c r="AM192" s="125">
        <f t="shared" si="37"/>
        <v>2536.4300000000003</v>
      </c>
    </row>
    <row r="193" spans="2:39" x14ac:dyDescent="0.25">
      <c r="B193" s="22" t="s">
        <v>188</v>
      </c>
      <c r="C193" s="894"/>
      <c r="D193" s="895"/>
      <c r="E193" s="124">
        <v>178.1</v>
      </c>
      <c r="F193" s="125">
        <v>179.53</v>
      </c>
      <c r="G193" s="125">
        <v>193.31</v>
      </c>
      <c r="H193" s="126">
        <v>89.83</v>
      </c>
      <c r="I193" s="124">
        <v>106.73</v>
      </c>
      <c r="J193" s="125">
        <v>116.09</v>
      </c>
      <c r="K193" s="125">
        <v>55.77</v>
      </c>
      <c r="L193" s="126">
        <v>67.08</v>
      </c>
      <c r="M193" s="124">
        <v>84.89</v>
      </c>
      <c r="N193" s="125">
        <v>60.19</v>
      </c>
      <c r="O193" s="125">
        <v>48.88</v>
      </c>
      <c r="P193" s="126">
        <v>79.69</v>
      </c>
      <c r="Q193" s="124">
        <v>103.09</v>
      </c>
      <c r="R193" s="125">
        <v>135.59</v>
      </c>
      <c r="S193" s="138">
        <v>123.5</v>
      </c>
      <c r="T193" s="139">
        <v>141.18</v>
      </c>
      <c r="U193" s="124">
        <v>150.79999999999998</v>
      </c>
      <c r="V193" s="125">
        <v>229.97</v>
      </c>
      <c r="W193" s="125">
        <v>117.91000000000001</v>
      </c>
      <c r="X193" s="126">
        <v>721.37</v>
      </c>
      <c r="Y193" s="415">
        <v>622.30999999999995</v>
      </c>
      <c r="Z193" s="416">
        <v>499.98</v>
      </c>
      <c r="AA193" s="416">
        <v>493.48</v>
      </c>
      <c r="AB193" s="417">
        <v>829.79</v>
      </c>
      <c r="AH193" s="124">
        <f t="shared" si="32"/>
        <v>640.7700000000001</v>
      </c>
      <c r="AI193" s="125">
        <f t="shared" si="33"/>
        <v>345.66999999999996</v>
      </c>
      <c r="AJ193" s="125">
        <f t="shared" si="34"/>
        <v>273.64999999999998</v>
      </c>
      <c r="AK193" s="125">
        <f t="shared" si="35"/>
        <v>503.36</v>
      </c>
      <c r="AL193" s="125">
        <f t="shared" si="36"/>
        <v>1220.05</v>
      </c>
      <c r="AM193" s="125">
        <f t="shared" si="37"/>
        <v>2445.56</v>
      </c>
    </row>
    <row r="194" spans="2:39" x14ac:dyDescent="0.25">
      <c r="B194" s="22" t="s">
        <v>189</v>
      </c>
      <c r="C194" s="894"/>
      <c r="D194" s="895"/>
      <c r="E194" s="124">
        <v>47.97</v>
      </c>
      <c r="F194" s="125">
        <v>21.84</v>
      </c>
      <c r="G194" s="125">
        <v>28.08</v>
      </c>
      <c r="H194" s="126">
        <v>37.18</v>
      </c>
      <c r="I194" s="124">
        <v>14.82</v>
      </c>
      <c r="J194" s="125">
        <v>22.75</v>
      </c>
      <c r="K194" s="125">
        <v>15.6</v>
      </c>
      <c r="L194" s="126">
        <v>29.64</v>
      </c>
      <c r="M194" s="124">
        <v>35.75</v>
      </c>
      <c r="N194" s="125">
        <v>1.3</v>
      </c>
      <c r="O194" s="125">
        <v>66.56</v>
      </c>
      <c r="P194" s="126">
        <v>36.01</v>
      </c>
      <c r="Q194" s="124">
        <v>4.42</v>
      </c>
      <c r="R194" s="125">
        <v>2.6</v>
      </c>
      <c r="S194" s="138">
        <v>2.6</v>
      </c>
      <c r="T194" s="139">
        <v>1.69</v>
      </c>
      <c r="U194" s="124">
        <v>59.15</v>
      </c>
      <c r="V194" s="125">
        <v>74.23</v>
      </c>
      <c r="W194" s="125">
        <v>1.4300000000000002</v>
      </c>
      <c r="X194" s="126">
        <v>1.9500000000000002</v>
      </c>
      <c r="Y194" s="415">
        <v>2.21</v>
      </c>
      <c r="Z194" s="416">
        <v>33.15</v>
      </c>
      <c r="AA194" s="416">
        <v>23.27</v>
      </c>
      <c r="AB194" s="417">
        <v>32.24</v>
      </c>
      <c r="AH194" s="124">
        <f t="shared" si="32"/>
        <v>135.07</v>
      </c>
      <c r="AI194" s="125">
        <f t="shared" si="33"/>
        <v>82.81</v>
      </c>
      <c r="AJ194" s="125">
        <f t="shared" si="34"/>
        <v>139.62</v>
      </c>
      <c r="AK194" s="125">
        <f t="shared" si="35"/>
        <v>11.309999999999999</v>
      </c>
      <c r="AL194" s="125">
        <f t="shared" si="36"/>
        <v>136.76</v>
      </c>
      <c r="AM194" s="125">
        <f t="shared" si="37"/>
        <v>90.87</v>
      </c>
    </row>
    <row r="195" spans="2:39" ht="15.75" thickBot="1" x14ac:dyDescent="0.3">
      <c r="B195" s="24" t="s">
        <v>195</v>
      </c>
      <c r="C195" s="896"/>
      <c r="D195" s="897"/>
      <c r="E195" s="130">
        <v>223.34</v>
      </c>
      <c r="F195" s="131">
        <v>198.12</v>
      </c>
      <c r="G195" s="131">
        <v>219.44</v>
      </c>
      <c r="H195" s="132">
        <v>127.01</v>
      </c>
      <c r="I195" s="130">
        <v>120.51</v>
      </c>
      <c r="J195" s="131">
        <v>138.44999999999999</v>
      </c>
      <c r="K195" s="131">
        <v>71.37</v>
      </c>
      <c r="L195" s="132">
        <v>96.72</v>
      </c>
      <c r="M195" s="130">
        <v>120.12</v>
      </c>
      <c r="N195" s="131">
        <v>57.85</v>
      </c>
      <c r="O195" s="131">
        <v>50.31</v>
      </c>
      <c r="P195" s="132">
        <v>115.18</v>
      </c>
      <c r="Q195" s="130">
        <v>104.65</v>
      </c>
      <c r="R195" s="131">
        <v>134.29</v>
      </c>
      <c r="S195" s="140">
        <v>123.76</v>
      </c>
      <c r="T195" s="141">
        <v>139.36000000000001</v>
      </c>
      <c r="U195" s="130">
        <v>160.16</v>
      </c>
      <c r="V195" s="131">
        <v>300.95</v>
      </c>
      <c r="W195" s="131">
        <v>117.00000000000001</v>
      </c>
      <c r="X195" s="132">
        <v>719.81000000000006</v>
      </c>
      <c r="Y195" s="436">
        <v>623.09</v>
      </c>
      <c r="Z195" s="437">
        <v>489.58</v>
      </c>
      <c r="AA195" s="437">
        <v>496.73</v>
      </c>
      <c r="AB195" s="438">
        <v>848.12</v>
      </c>
      <c r="AH195" s="130">
        <f t="shared" si="32"/>
        <v>767.91000000000008</v>
      </c>
      <c r="AI195" s="131">
        <f t="shared" si="33"/>
        <v>427.04999999999995</v>
      </c>
      <c r="AJ195" s="131">
        <f t="shared" si="34"/>
        <v>343.46000000000004</v>
      </c>
      <c r="AK195" s="131">
        <f t="shared" si="35"/>
        <v>502.06</v>
      </c>
      <c r="AL195" s="131">
        <f t="shared" si="36"/>
        <v>1297.92</v>
      </c>
      <c r="AM195" s="131">
        <f t="shared" si="37"/>
        <v>2457.52</v>
      </c>
    </row>
    <row r="196" spans="2:39" x14ac:dyDescent="0.25">
      <c r="B196" s="20" t="s">
        <v>247</v>
      </c>
      <c r="C196" s="886" t="s">
        <v>275</v>
      </c>
      <c r="D196" s="887"/>
      <c r="E196" s="127">
        <v>80597.919999999998</v>
      </c>
      <c r="F196" s="128">
        <v>109099.38</v>
      </c>
      <c r="G196" s="128">
        <v>110092.84</v>
      </c>
      <c r="H196" s="129">
        <v>115661</v>
      </c>
      <c r="I196" s="127">
        <v>97399.9</v>
      </c>
      <c r="J196" s="128">
        <v>100073.35</v>
      </c>
      <c r="K196" s="128">
        <v>106012.27</v>
      </c>
      <c r="L196" s="129">
        <v>118477.71</v>
      </c>
      <c r="M196" s="127">
        <v>100972.69</v>
      </c>
      <c r="N196" s="128">
        <v>113706.32</v>
      </c>
      <c r="O196" s="128">
        <v>128970.27</v>
      </c>
      <c r="P196" s="129">
        <v>136621.29</v>
      </c>
      <c r="Q196" s="127">
        <v>130449.8</v>
      </c>
      <c r="R196" s="128">
        <v>136822.26999999999</v>
      </c>
      <c r="S196" s="134">
        <v>137859.41</v>
      </c>
      <c r="T196" s="135">
        <v>128245.78</v>
      </c>
      <c r="U196" s="127">
        <v>113302.93</v>
      </c>
      <c r="V196" s="128">
        <v>131568.71</v>
      </c>
      <c r="W196" s="128">
        <v>130765.7</v>
      </c>
      <c r="X196" s="129">
        <v>115877.45000000001</v>
      </c>
      <c r="Y196" s="403">
        <v>113527.7</v>
      </c>
      <c r="Z196" s="404">
        <v>126520.42</v>
      </c>
      <c r="AA196" s="404">
        <v>129001.20999999999</v>
      </c>
      <c r="AB196" s="405">
        <v>132906.41</v>
      </c>
      <c r="AH196" s="127">
        <f t="shared" si="32"/>
        <v>415451.14</v>
      </c>
      <c r="AI196" s="128">
        <f t="shared" si="33"/>
        <v>421963.23000000004</v>
      </c>
      <c r="AJ196" s="128">
        <f t="shared" si="34"/>
        <v>480270.57000000007</v>
      </c>
      <c r="AK196" s="128">
        <f t="shared" si="35"/>
        <v>533377.26</v>
      </c>
      <c r="AL196" s="128">
        <f t="shared" si="36"/>
        <v>491514.79</v>
      </c>
      <c r="AM196" s="128">
        <f t="shared" si="37"/>
        <v>501955.74</v>
      </c>
    </row>
    <row r="197" spans="2:39" x14ac:dyDescent="0.25">
      <c r="B197" s="21" t="s">
        <v>188</v>
      </c>
      <c r="C197" s="888"/>
      <c r="D197" s="889"/>
      <c r="E197" s="121">
        <v>24093.55</v>
      </c>
      <c r="F197" s="122">
        <v>30550</v>
      </c>
      <c r="G197" s="122">
        <v>31039.19</v>
      </c>
      <c r="H197" s="123">
        <v>24243.439999999999</v>
      </c>
      <c r="I197" s="121">
        <v>28615.08</v>
      </c>
      <c r="J197" s="122">
        <v>32851.26</v>
      </c>
      <c r="K197" s="122">
        <v>36840.57</v>
      </c>
      <c r="L197" s="123">
        <v>28270.19</v>
      </c>
      <c r="M197" s="121">
        <v>28970.76</v>
      </c>
      <c r="N197" s="122">
        <v>36983.18</v>
      </c>
      <c r="O197" s="122">
        <v>42592.94</v>
      </c>
      <c r="P197" s="123">
        <v>39204.1</v>
      </c>
      <c r="Q197" s="121">
        <v>33225.4</v>
      </c>
      <c r="R197" s="122">
        <v>41135.120000000003</v>
      </c>
      <c r="S197" s="136">
        <v>34496.54</v>
      </c>
      <c r="T197" s="137">
        <v>32744.400000000001</v>
      </c>
      <c r="U197" s="121">
        <v>37393.33</v>
      </c>
      <c r="V197" s="122">
        <v>54005.38</v>
      </c>
      <c r="W197" s="122">
        <v>49412.22</v>
      </c>
      <c r="X197" s="123">
        <v>32711.380000000005</v>
      </c>
      <c r="Y197" s="421">
        <v>31372.25</v>
      </c>
      <c r="Z197" s="422">
        <v>40750.06</v>
      </c>
      <c r="AA197" s="422">
        <v>42790.8</v>
      </c>
      <c r="AB197" s="423">
        <v>36794.68</v>
      </c>
      <c r="AH197" s="121">
        <f t="shared" si="32"/>
        <v>109926.18000000001</v>
      </c>
      <c r="AI197" s="122">
        <f t="shared" si="33"/>
        <v>126577.1</v>
      </c>
      <c r="AJ197" s="122">
        <f t="shared" si="34"/>
        <v>147750.98000000001</v>
      </c>
      <c r="AK197" s="122">
        <f t="shared" si="35"/>
        <v>141601.46</v>
      </c>
      <c r="AL197" s="122">
        <f t="shared" si="36"/>
        <v>173522.31</v>
      </c>
      <c r="AM197" s="122">
        <f t="shared" si="37"/>
        <v>151707.79</v>
      </c>
    </row>
    <row r="198" spans="2:39" x14ac:dyDescent="0.25">
      <c r="B198" s="21" t="s">
        <v>189</v>
      </c>
      <c r="C198" s="888"/>
      <c r="D198" s="889"/>
      <c r="E198" s="121">
        <v>56504.37</v>
      </c>
      <c r="F198" s="122">
        <v>78549.38</v>
      </c>
      <c r="G198" s="122">
        <v>79053.649999999994</v>
      </c>
      <c r="H198" s="123">
        <v>91417.56</v>
      </c>
      <c r="I198" s="121">
        <v>68784.820000000007</v>
      </c>
      <c r="J198" s="122">
        <v>67222.09</v>
      </c>
      <c r="K198" s="122">
        <v>69171.7</v>
      </c>
      <c r="L198" s="123">
        <v>90207.52</v>
      </c>
      <c r="M198" s="121">
        <v>72001.929999999993</v>
      </c>
      <c r="N198" s="122">
        <v>76723.14</v>
      </c>
      <c r="O198" s="122">
        <v>86377.33</v>
      </c>
      <c r="P198" s="123">
        <v>97417.19</v>
      </c>
      <c r="Q198" s="121">
        <v>97224.4</v>
      </c>
      <c r="R198" s="122">
        <v>95687.15</v>
      </c>
      <c r="S198" s="136">
        <v>103362.87</v>
      </c>
      <c r="T198" s="137">
        <v>95501.38</v>
      </c>
      <c r="U198" s="121">
        <v>75909.600000000006</v>
      </c>
      <c r="V198" s="122">
        <v>77563.33</v>
      </c>
      <c r="W198" s="122">
        <v>81353.48000000001</v>
      </c>
      <c r="X198" s="123">
        <v>83166.070000000007</v>
      </c>
      <c r="Y198" s="421">
        <v>82155.45</v>
      </c>
      <c r="Z198" s="422">
        <v>85770.36</v>
      </c>
      <c r="AA198" s="422">
        <v>86210.41</v>
      </c>
      <c r="AB198" s="423">
        <v>96111.73000000001</v>
      </c>
      <c r="AH198" s="121">
        <f t="shared" si="32"/>
        <v>305524.95999999996</v>
      </c>
      <c r="AI198" s="122">
        <f t="shared" si="33"/>
        <v>295386.13</v>
      </c>
      <c r="AJ198" s="122">
        <f t="shared" si="34"/>
        <v>332519.59000000003</v>
      </c>
      <c r="AK198" s="122">
        <f t="shared" si="35"/>
        <v>391775.8</v>
      </c>
      <c r="AL198" s="122">
        <f t="shared" si="36"/>
        <v>317992.48</v>
      </c>
      <c r="AM198" s="122">
        <f t="shared" si="37"/>
        <v>350247.95</v>
      </c>
    </row>
    <row r="199" spans="2:39" x14ac:dyDescent="0.25">
      <c r="B199" s="21" t="s">
        <v>195</v>
      </c>
      <c r="C199" s="890"/>
      <c r="D199" s="891"/>
      <c r="E199" s="121">
        <v>19941.22</v>
      </c>
      <c r="F199" s="122">
        <v>32599.84</v>
      </c>
      <c r="G199" s="122">
        <v>31334.55</v>
      </c>
      <c r="H199" s="123">
        <v>41878.199999999997</v>
      </c>
      <c r="I199" s="121">
        <v>27079.13</v>
      </c>
      <c r="J199" s="122">
        <v>25026.3</v>
      </c>
      <c r="K199" s="122">
        <v>28384.59</v>
      </c>
      <c r="L199" s="123">
        <v>32860.879999999997</v>
      </c>
      <c r="M199" s="121">
        <v>28415.01</v>
      </c>
      <c r="N199" s="122">
        <v>30839.77</v>
      </c>
      <c r="O199" s="122">
        <v>36294.31</v>
      </c>
      <c r="P199" s="123">
        <v>35907.949999999997</v>
      </c>
      <c r="Q199" s="121">
        <v>39474.239999999998</v>
      </c>
      <c r="R199" s="122">
        <v>38045.93</v>
      </c>
      <c r="S199" s="136">
        <v>37270.089999999997</v>
      </c>
      <c r="T199" s="137">
        <v>31228.73</v>
      </c>
      <c r="U199" s="121">
        <v>26734.63</v>
      </c>
      <c r="V199" s="122">
        <v>26055.64</v>
      </c>
      <c r="W199" s="122">
        <v>30197.699999999997</v>
      </c>
      <c r="X199" s="123">
        <v>28805.660000000003</v>
      </c>
      <c r="Y199" s="421">
        <v>33311.33</v>
      </c>
      <c r="Z199" s="422">
        <v>35102.47</v>
      </c>
      <c r="AA199" s="422">
        <v>42688.100000000006</v>
      </c>
      <c r="AB199" s="423">
        <v>44351.06</v>
      </c>
      <c r="AH199" s="121">
        <f t="shared" si="32"/>
        <v>125753.81</v>
      </c>
      <c r="AI199" s="122">
        <f t="shared" si="33"/>
        <v>113350.9</v>
      </c>
      <c r="AJ199" s="122">
        <f t="shared" si="34"/>
        <v>131457.03999999998</v>
      </c>
      <c r="AK199" s="122">
        <f t="shared" si="35"/>
        <v>146018.99</v>
      </c>
      <c r="AL199" s="122">
        <f t="shared" si="36"/>
        <v>111793.63</v>
      </c>
      <c r="AM199" s="122">
        <f t="shared" si="37"/>
        <v>155452.96000000002</v>
      </c>
    </row>
    <row r="200" spans="2:39" x14ac:dyDescent="0.25">
      <c r="B200" s="22" t="s">
        <v>247</v>
      </c>
      <c r="C200" s="892" t="s">
        <v>276</v>
      </c>
      <c r="D200" s="893"/>
      <c r="E200" s="124">
        <v>58037.85</v>
      </c>
      <c r="F200" s="125">
        <v>71662.759999999995</v>
      </c>
      <c r="G200" s="125">
        <v>69888.78</v>
      </c>
      <c r="H200" s="126">
        <v>69519.58</v>
      </c>
      <c r="I200" s="124">
        <v>61431.37</v>
      </c>
      <c r="J200" s="125">
        <v>73005.14</v>
      </c>
      <c r="K200" s="125">
        <v>64322.18</v>
      </c>
      <c r="L200" s="126">
        <v>69331.210000000006</v>
      </c>
      <c r="M200" s="124">
        <v>63335.22</v>
      </c>
      <c r="N200" s="125">
        <v>75819.38</v>
      </c>
      <c r="O200" s="125">
        <v>64498.33</v>
      </c>
      <c r="P200" s="126">
        <v>66150.5</v>
      </c>
      <c r="Q200" s="124">
        <v>59999.03</v>
      </c>
      <c r="R200" s="125">
        <v>62052.12</v>
      </c>
      <c r="S200" s="138">
        <v>64432.81</v>
      </c>
      <c r="T200" s="139">
        <v>72493.070000000007</v>
      </c>
      <c r="U200" s="124">
        <v>66614.73000000001</v>
      </c>
      <c r="V200" s="125">
        <v>68727.62</v>
      </c>
      <c r="W200" s="125">
        <v>69196.27</v>
      </c>
      <c r="X200" s="126">
        <v>75186.539999999994</v>
      </c>
      <c r="Y200" s="406">
        <v>60842.600000000006</v>
      </c>
      <c r="Z200" s="407">
        <v>69675.839999999997</v>
      </c>
      <c r="AA200" s="407">
        <v>69556.89</v>
      </c>
      <c r="AB200" s="408">
        <v>68561.09</v>
      </c>
      <c r="AH200" s="124">
        <f t="shared" si="32"/>
        <v>269108.96999999997</v>
      </c>
      <c r="AI200" s="125">
        <f t="shared" si="33"/>
        <v>268089.90000000002</v>
      </c>
      <c r="AJ200" s="125">
        <f t="shared" si="34"/>
        <v>269803.43</v>
      </c>
      <c r="AK200" s="125">
        <f t="shared" si="35"/>
        <v>258977.03</v>
      </c>
      <c r="AL200" s="125">
        <f t="shared" si="36"/>
        <v>279725.15999999997</v>
      </c>
      <c r="AM200" s="125">
        <f t="shared" si="37"/>
        <v>268636.42000000004</v>
      </c>
    </row>
    <row r="201" spans="2:39" x14ac:dyDescent="0.25">
      <c r="B201" s="22" t="s">
        <v>188</v>
      </c>
      <c r="C201" s="894"/>
      <c r="D201" s="895"/>
      <c r="E201" s="124">
        <v>36858.120000000003</v>
      </c>
      <c r="F201" s="125">
        <v>41721.94</v>
      </c>
      <c r="G201" s="125">
        <v>45112.47</v>
      </c>
      <c r="H201" s="126">
        <v>47363.03</v>
      </c>
      <c r="I201" s="124">
        <v>40060.15</v>
      </c>
      <c r="J201" s="125">
        <v>45491.03</v>
      </c>
      <c r="K201" s="125">
        <v>45052.15</v>
      </c>
      <c r="L201" s="126">
        <v>47667.62</v>
      </c>
      <c r="M201" s="124">
        <v>39963.300000000003</v>
      </c>
      <c r="N201" s="125">
        <v>47588.84</v>
      </c>
      <c r="O201" s="125">
        <v>44089.24</v>
      </c>
      <c r="P201" s="126">
        <v>46095.79</v>
      </c>
      <c r="Q201" s="124">
        <v>40930.370000000003</v>
      </c>
      <c r="R201" s="125">
        <v>42616.86</v>
      </c>
      <c r="S201" s="138">
        <v>44643.3</v>
      </c>
      <c r="T201" s="139">
        <v>48946.95</v>
      </c>
      <c r="U201" s="124">
        <v>41053.22</v>
      </c>
      <c r="V201" s="125">
        <v>45415.630000000005</v>
      </c>
      <c r="W201" s="125">
        <v>46100.86</v>
      </c>
      <c r="X201" s="126">
        <v>49761.4</v>
      </c>
      <c r="Y201" s="406">
        <v>38708.410000000003</v>
      </c>
      <c r="Z201" s="407">
        <v>45063.590000000004</v>
      </c>
      <c r="AA201" s="407">
        <v>45748.69</v>
      </c>
      <c r="AB201" s="408">
        <v>49981.619999999995</v>
      </c>
      <c r="AH201" s="124">
        <f t="shared" si="32"/>
        <v>171055.56</v>
      </c>
      <c r="AI201" s="125">
        <f t="shared" si="33"/>
        <v>178270.94999999998</v>
      </c>
      <c r="AJ201" s="125">
        <f t="shared" si="34"/>
        <v>177737.17</v>
      </c>
      <c r="AK201" s="125">
        <f t="shared" si="35"/>
        <v>177137.48</v>
      </c>
      <c r="AL201" s="125">
        <f t="shared" si="36"/>
        <v>182331.11000000002</v>
      </c>
      <c r="AM201" s="125">
        <f t="shared" si="37"/>
        <v>179502.31</v>
      </c>
    </row>
    <row r="202" spans="2:39" x14ac:dyDescent="0.25">
      <c r="B202" s="22" t="s">
        <v>189</v>
      </c>
      <c r="C202" s="894"/>
      <c r="D202" s="895"/>
      <c r="E202" s="124">
        <v>21179.73</v>
      </c>
      <c r="F202" s="125">
        <v>29940.82</v>
      </c>
      <c r="G202" s="125">
        <v>24776.31</v>
      </c>
      <c r="H202" s="126">
        <v>22156.55</v>
      </c>
      <c r="I202" s="124">
        <v>21371.22</v>
      </c>
      <c r="J202" s="125">
        <v>27514.11</v>
      </c>
      <c r="K202" s="125">
        <v>19270.03</v>
      </c>
      <c r="L202" s="126">
        <v>21663.59</v>
      </c>
      <c r="M202" s="124">
        <v>23371.919999999998</v>
      </c>
      <c r="N202" s="125">
        <v>28230.54</v>
      </c>
      <c r="O202" s="125">
        <v>20409.09</v>
      </c>
      <c r="P202" s="126">
        <v>20054.71</v>
      </c>
      <c r="Q202" s="124">
        <v>19068.66</v>
      </c>
      <c r="R202" s="125">
        <v>19435.259999999998</v>
      </c>
      <c r="S202" s="138">
        <v>19789.509999999998</v>
      </c>
      <c r="T202" s="139">
        <v>23546.12</v>
      </c>
      <c r="U202" s="124">
        <v>25561.51</v>
      </c>
      <c r="V202" s="125">
        <v>23311.99</v>
      </c>
      <c r="W202" s="125">
        <v>23095.410000000003</v>
      </c>
      <c r="X202" s="126">
        <v>25425.14</v>
      </c>
      <c r="Y202" s="406">
        <v>22134.190000000002</v>
      </c>
      <c r="Z202" s="407">
        <v>24612.25</v>
      </c>
      <c r="AA202" s="407">
        <v>23808.2</v>
      </c>
      <c r="AB202" s="408">
        <v>18579.47</v>
      </c>
      <c r="AH202" s="124">
        <f t="shared" si="32"/>
        <v>98053.41</v>
      </c>
      <c r="AI202" s="125">
        <f t="shared" si="33"/>
        <v>89818.95</v>
      </c>
      <c r="AJ202" s="125">
        <f t="shared" si="34"/>
        <v>92066.260000000009</v>
      </c>
      <c r="AK202" s="125">
        <f t="shared" si="35"/>
        <v>81839.549999999988</v>
      </c>
      <c r="AL202" s="125">
        <f t="shared" si="36"/>
        <v>97394.05</v>
      </c>
      <c r="AM202" s="125">
        <f t="shared" si="37"/>
        <v>89134.11</v>
      </c>
    </row>
    <row r="203" spans="2:39" ht="15.75" thickBot="1" x14ac:dyDescent="0.3">
      <c r="B203" s="24" t="s">
        <v>195</v>
      </c>
      <c r="C203" s="896"/>
      <c r="D203" s="897"/>
      <c r="E203" s="130">
        <v>56380.74</v>
      </c>
      <c r="F203" s="131">
        <v>69815.460000000006</v>
      </c>
      <c r="G203" s="131">
        <v>68138.33</v>
      </c>
      <c r="H203" s="132">
        <v>67694.25</v>
      </c>
      <c r="I203" s="130">
        <v>59693.01</v>
      </c>
      <c r="J203" s="131">
        <v>71070.87</v>
      </c>
      <c r="K203" s="131">
        <v>62567.18</v>
      </c>
      <c r="L203" s="132">
        <v>67498.86</v>
      </c>
      <c r="M203" s="130">
        <v>61516.52</v>
      </c>
      <c r="N203" s="131">
        <v>74030.19</v>
      </c>
      <c r="O203" s="131">
        <v>62583.43</v>
      </c>
      <c r="P203" s="132">
        <v>64293.32</v>
      </c>
      <c r="Q203" s="130">
        <v>58281.21</v>
      </c>
      <c r="R203" s="131">
        <v>60279.31</v>
      </c>
      <c r="S203" s="140">
        <v>62574.59</v>
      </c>
      <c r="T203" s="141">
        <v>70892.38</v>
      </c>
      <c r="U203" s="130">
        <v>64904.45</v>
      </c>
      <c r="V203" s="131">
        <v>67162.420000000013</v>
      </c>
      <c r="W203" s="131">
        <v>67567.63</v>
      </c>
      <c r="X203" s="132">
        <v>73521.63</v>
      </c>
      <c r="Y203" s="409">
        <v>59555.340000000004</v>
      </c>
      <c r="Z203" s="410">
        <v>68350.23000000001</v>
      </c>
      <c r="AA203" s="410">
        <v>68240.25</v>
      </c>
      <c r="AB203" s="411">
        <v>66986.92</v>
      </c>
      <c r="AH203" s="130">
        <f t="shared" si="32"/>
        <v>262028.78000000003</v>
      </c>
      <c r="AI203" s="131">
        <f t="shared" si="33"/>
        <v>260829.91999999998</v>
      </c>
      <c r="AJ203" s="131">
        <f t="shared" si="34"/>
        <v>262423.45999999996</v>
      </c>
      <c r="AK203" s="131">
        <f t="shared" si="35"/>
        <v>252027.49</v>
      </c>
      <c r="AL203" s="131">
        <f t="shared" si="36"/>
        <v>273156.13</v>
      </c>
      <c r="AM203" s="131">
        <f t="shared" si="37"/>
        <v>263132.74</v>
      </c>
    </row>
    <row r="208" spans="2:39" ht="15.75" thickBot="1" x14ac:dyDescent="0.3">
      <c r="E208" s="365"/>
      <c r="F208" s="365"/>
      <c r="G208" s="365"/>
      <c r="H208" s="365"/>
      <c r="I208" s="365"/>
      <c r="J208" s="365"/>
      <c r="K208" s="365"/>
      <c r="L208" s="365"/>
      <c r="M208" s="365"/>
    </row>
    <row r="209" spans="2:39" ht="15.75" thickBot="1" x14ac:dyDescent="0.3">
      <c r="B209" s="29"/>
      <c r="C209" s="898" t="s">
        <v>272</v>
      </c>
      <c r="D209" s="899"/>
      <c r="E209" s="365"/>
      <c r="F209" s="365"/>
      <c r="G209" s="365"/>
      <c r="H209" s="365"/>
      <c r="I209" s="365"/>
      <c r="J209" s="365"/>
      <c r="K209" s="365"/>
      <c r="L209" s="365"/>
      <c r="M209" s="365"/>
      <c r="N209" s="365"/>
      <c r="O209" s="365"/>
      <c r="P209" s="365"/>
      <c r="Q209" s="365"/>
      <c r="R209" s="365"/>
      <c r="S209" s="365"/>
      <c r="T209" s="365"/>
      <c r="U209" s="365"/>
      <c r="V209" s="365"/>
      <c r="W209" s="365"/>
      <c r="X209" s="365"/>
      <c r="Y209" s="365"/>
      <c r="Z209" s="365"/>
      <c r="AA209" s="365"/>
      <c r="AB209" s="365"/>
      <c r="AH209" s="484">
        <v>2014</v>
      </c>
      <c r="AI209" s="493">
        <v>2015</v>
      </c>
      <c r="AJ209" s="493">
        <v>2016</v>
      </c>
      <c r="AK209" s="493">
        <v>2017</v>
      </c>
      <c r="AL209" s="493">
        <v>2018</v>
      </c>
      <c r="AM209" s="493">
        <v>2019</v>
      </c>
    </row>
    <row r="210" spans="2:39" x14ac:dyDescent="0.25">
      <c r="B210" s="20" t="s">
        <v>247</v>
      </c>
      <c r="C210" s="886" t="s">
        <v>273</v>
      </c>
      <c r="D210" s="887"/>
      <c r="E210" s="365"/>
      <c r="F210" s="365"/>
      <c r="G210" s="365"/>
      <c r="H210" s="365"/>
      <c r="I210" s="365"/>
      <c r="J210" s="365"/>
      <c r="K210" s="365"/>
      <c r="L210" s="365"/>
      <c r="M210" s="365"/>
      <c r="N210" s="365"/>
      <c r="O210" s="365"/>
      <c r="P210" s="365"/>
      <c r="Q210" s="365"/>
      <c r="R210" s="365"/>
      <c r="S210" s="365"/>
      <c r="T210" s="365"/>
      <c r="U210" s="365"/>
      <c r="V210" s="365"/>
      <c r="W210" s="365"/>
      <c r="X210" s="365"/>
      <c r="Y210" s="365"/>
      <c r="Z210" s="365"/>
      <c r="AA210" s="365"/>
      <c r="AB210" s="365"/>
      <c r="AH210" s="485">
        <f>IFERROR((AH85-AH188)/AH188,0)</f>
        <v>-6.3856960408696271E-4</v>
      </c>
      <c r="AI210" s="486">
        <f t="shared" ref="AI210:AM210" si="38">IFERROR((AI85-AI188)/AI188,0)</f>
        <v>1.809838858278401E-16</v>
      </c>
      <c r="AJ210" s="486">
        <f t="shared" si="38"/>
        <v>-0.56665096561469619</v>
      </c>
      <c r="AK210" s="486">
        <f t="shared" si="38"/>
        <v>-0.17267878889682103</v>
      </c>
      <c r="AL210" s="486">
        <f t="shared" si="38"/>
        <v>-0.26639584964761159</v>
      </c>
      <c r="AM210" s="487">
        <f t="shared" si="38"/>
        <v>-0.29993450336171518</v>
      </c>
    </row>
    <row r="211" spans="2:39" x14ac:dyDescent="0.25">
      <c r="B211" s="21" t="s">
        <v>188</v>
      </c>
      <c r="C211" s="888"/>
      <c r="D211" s="889"/>
      <c r="E211" s="365"/>
      <c r="F211" s="365"/>
      <c r="G211" s="365"/>
      <c r="H211" s="365"/>
      <c r="I211" s="365"/>
      <c r="J211" s="365"/>
      <c r="K211" s="365"/>
      <c r="L211" s="365"/>
      <c r="M211" s="365"/>
      <c r="N211" s="365"/>
      <c r="O211" s="365"/>
      <c r="P211" s="365"/>
      <c r="Q211" s="365"/>
      <c r="R211" s="365"/>
      <c r="S211" s="365"/>
      <c r="T211" s="365"/>
      <c r="U211" s="365"/>
      <c r="V211" s="365"/>
      <c r="W211" s="365"/>
      <c r="X211" s="365"/>
      <c r="Y211" s="365"/>
      <c r="Z211" s="365"/>
      <c r="AA211" s="365"/>
      <c r="AB211" s="365"/>
      <c r="AH211" s="488">
        <f t="shared" ref="AH211:AM211" si="39">IFERROR((AH86-AH189)/AH189,0)</f>
        <v>-3.9840637450199983E-3</v>
      </c>
      <c r="AI211" s="483">
        <f t="shared" si="39"/>
        <v>0</v>
      </c>
      <c r="AJ211" s="483">
        <f t="shared" si="39"/>
        <v>-0.7076796036333608</v>
      </c>
      <c r="AK211" s="483">
        <f t="shared" si="39"/>
        <v>-0.10630090012858982</v>
      </c>
      <c r="AL211" s="483">
        <f t="shared" si="39"/>
        <v>-7.7489345215030214E-4</v>
      </c>
      <c r="AM211" s="489">
        <f t="shared" si="39"/>
        <v>-9.4410361281526911E-2</v>
      </c>
    </row>
    <row r="212" spans="2:39" x14ac:dyDescent="0.25">
      <c r="B212" s="21" t="s">
        <v>189</v>
      </c>
      <c r="C212" s="888"/>
      <c r="D212" s="889"/>
      <c r="E212" s="365"/>
      <c r="F212" s="365"/>
      <c r="G212" s="365"/>
      <c r="H212" s="365"/>
      <c r="I212" s="365"/>
      <c r="J212" s="365"/>
      <c r="K212" s="365"/>
      <c r="L212" s="365"/>
      <c r="M212" s="365"/>
      <c r="N212" s="365"/>
      <c r="O212" s="365"/>
      <c r="P212" s="365"/>
      <c r="Q212" s="365"/>
      <c r="R212" s="365"/>
      <c r="S212" s="365"/>
      <c r="T212" s="365"/>
      <c r="U212" s="365"/>
      <c r="V212" s="365"/>
      <c r="W212" s="365"/>
      <c r="X212" s="365"/>
      <c r="Y212" s="365"/>
      <c r="Z212" s="365"/>
      <c r="AA212" s="365"/>
      <c r="AB212" s="365"/>
      <c r="AH212" s="488">
        <f t="shared" ref="AH212:AM212" si="40">IFERROR((AH87-AH190)/AH190,0)</f>
        <v>0</v>
      </c>
      <c r="AI212" s="483">
        <f t="shared" si="40"/>
        <v>1.8847287420692316E-16</v>
      </c>
      <c r="AJ212" s="483">
        <f t="shared" si="40"/>
        <v>-0.55183482259043992</v>
      </c>
      <c r="AK212" s="483">
        <f t="shared" si="40"/>
        <v>-0.1798882681564245</v>
      </c>
      <c r="AL212" s="483">
        <f t="shared" si="40"/>
        <v>-0.30480085149291353</v>
      </c>
      <c r="AM212" s="489">
        <f t="shared" si="40"/>
        <v>-0.308323710680449</v>
      </c>
    </row>
    <row r="213" spans="2:39" ht="15.75" thickBot="1" x14ac:dyDescent="0.3">
      <c r="B213" s="21" t="s">
        <v>195</v>
      </c>
      <c r="C213" s="890"/>
      <c r="D213" s="891"/>
      <c r="E213" s="365"/>
      <c r="F213" s="365"/>
      <c r="G213" s="365"/>
      <c r="H213" s="365"/>
      <c r="I213" s="365"/>
      <c r="J213" s="365"/>
      <c r="K213" s="365"/>
      <c r="L213" s="365"/>
      <c r="M213" s="365"/>
      <c r="N213" s="365"/>
      <c r="O213" s="365"/>
      <c r="P213" s="365"/>
      <c r="Q213" s="365"/>
      <c r="R213" s="365"/>
      <c r="S213" s="365"/>
      <c r="T213" s="365"/>
      <c r="U213" s="365"/>
      <c r="V213" s="365"/>
      <c r="W213" s="365"/>
      <c r="X213" s="365"/>
      <c r="Y213" s="365"/>
      <c r="Z213" s="365"/>
      <c r="AA213" s="365"/>
      <c r="AB213" s="365"/>
      <c r="AH213" s="490">
        <f t="shared" ref="AH213:AM213" si="41">IFERROR((AH88-AH191)/AH191,0)</f>
        <v>-7.6569678407348014E-4</v>
      </c>
      <c r="AI213" s="491">
        <f t="shared" si="41"/>
        <v>0</v>
      </c>
      <c r="AJ213" s="491">
        <f t="shared" si="41"/>
        <v>-0.70227320564091766</v>
      </c>
      <c r="AK213" s="491">
        <f t="shared" si="41"/>
        <v>-0.29110023563530907</v>
      </c>
      <c r="AL213" s="491">
        <f t="shared" si="41"/>
        <v>-0.49421003593770801</v>
      </c>
      <c r="AM213" s="492">
        <f t="shared" si="41"/>
        <v>-0.15284334260793431</v>
      </c>
    </row>
    <row r="214" spans="2:39" x14ac:dyDescent="0.25">
      <c r="B214" s="22" t="s">
        <v>247</v>
      </c>
      <c r="C214" s="892" t="s">
        <v>274</v>
      </c>
      <c r="D214" s="893"/>
      <c r="E214" s="365"/>
      <c r="F214" s="365"/>
      <c r="G214" s="365"/>
      <c r="H214" s="365"/>
      <c r="I214" s="365"/>
      <c r="J214" s="365"/>
      <c r="K214" s="365"/>
      <c r="L214" s="365"/>
      <c r="M214" s="365"/>
      <c r="N214" s="365"/>
      <c r="O214" s="365"/>
      <c r="P214" s="365"/>
      <c r="Q214" s="365"/>
      <c r="R214" s="365"/>
      <c r="S214" s="365"/>
      <c r="T214" s="365"/>
      <c r="U214" s="365"/>
      <c r="V214" s="365"/>
      <c r="W214" s="365"/>
      <c r="X214" s="365"/>
      <c r="Y214" s="365"/>
      <c r="Z214" s="365"/>
      <c r="AA214" s="365"/>
      <c r="AB214" s="365"/>
      <c r="AH214" s="485">
        <f t="shared" ref="AH214:AM214" si="42">IFERROR((AH89-AH192)/AH192,0)</f>
        <v>1.4653387002683032E-16</v>
      </c>
      <c r="AI214" s="486">
        <f t="shared" si="42"/>
        <v>0</v>
      </c>
      <c r="AJ214" s="486">
        <f t="shared" si="42"/>
        <v>-6.9833280905945164E-2</v>
      </c>
      <c r="AK214" s="486">
        <f t="shared" si="42"/>
        <v>2.2089268409197358E-16</v>
      </c>
      <c r="AL214" s="486">
        <f t="shared" si="42"/>
        <v>-9.5812973076467422E-5</v>
      </c>
      <c r="AM214" s="487">
        <f t="shared" si="42"/>
        <v>0</v>
      </c>
    </row>
    <row r="215" spans="2:39" x14ac:dyDescent="0.25">
      <c r="B215" s="22" t="s">
        <v>188</v>
      </c>
      <c r="C215" s="894"/>
      <c r="D215" s="895"/>
      <c r="E215" s="365"/>
      <c r="F215" s="365"/>
      <c r="G215" s="365"/>
      <c r="H215" s="365"/>
      <c r="I215" s="365"/>
      <c r="J215" s="365"/>
      <c r="K215" s="365"/>
      <c r="L215" s="365"/>
      <c r="M215" s="365"/>
      <c r="N215" s="365"/>
      <c r="O215" s="365"/>
      <c r="P215" s="365"/>
      <c r="Q215" s="365"/>
      <c r="R215" s="365"/>
      <c r="S215" s="365"/>
      <c r="T215" s="365"/>
      <c r="U215" s="365"/>
      <c r="V215" s="365"/>
      <c r="W215" s="365"/>
      <c r="X215" s="365"/>
      <c r="Y215" s="365"/>
      <c r="Z215" s="365"/>
      <c r="AA215" s="365"/>
      <c r="AB215" s="365"/>
      <c r="AH215" s="488">
        <f t="shared" ref="AH215:AM215" si="43">IFERROR((AH90-AH193)/AH193,0)</f>
        <v>0</v>
      </c>
      <c r="AI215" s="483">
        <f t="shared" si="43"/>
        <v>0</v>
      </c>
      <c r="AJ215" s="483">
        <f t="shared" si="43"/>
        <v>-0.10546318289786219</v>
      </c>
      <c r="AK215" s="483">
        <f t="shared" si="43"/>
        <v>0</v>
      </c>
      <c r="AL215" s="483">
        <f t="shared" si="43"/>
        <v>0</v>
      </c>
      <c r="AM215" s="489">
        <f t="shared" si="43"/>
        <v>0</v>
      </c>
    </row>
    <row r="216" spans="2:39" x14ac:dyDescent="0.25">
      <c r="B216" s="22" t="s">
        <v>189</v>
      </c>
      <c r="C216" s="894"/>
      <c r="D216" s="895"/>
      <c r="E216" s="365"/>
      <c r="F216" s="365"/>
      <c r="G216" s="365"/>
      <c r="H216" s="365"/>
      <c r="I216" s="365"/>
      <c r="J216" s="365"/>
      <c r="K216" s="365"/>
      <c r="L216" s="365"/>
      <c r="M216" s="365"/>
      <c r="N216" s="365"/>
      <c r="O216" s="365"/>
      <c r="P216" s="365"/>
      <c r="Q216" s="365"/>
      <c r="R216" s="365"/>
      <c r="S216" s="365"/>
      <c r="T216" s="365"/>
      <c r="U216" s="365"/>
      <c r="V216" s="365"/>
      <c r="W216" s="365"/>
      <c r="X216" s="365"/>
      <c r="Y216" s="365"/>
      <c r="Z216" s="365"/>
      <c r="AA216" s="365"/>
      <c r="AB216" s="365"/>
      <c r="AH216" s="488">
        <f t="shared" ref="AH216:AM216" si="44">IFERROR((AH91-AH194)/AH194,0)</f>
        <v>0</v>
      </c>
      <c r="AI216" s="483">
        <f t="shared" si="44"/>
        <v>0</v>
      </c>
      <c r="AJ216" s="483">
        <f t="shared" si="44"/>
        <v>0</v>
      </c>
      <c r="AK216" s="483">
        <f t="shared" si="44"/>
        <v>0</v>
      </c>
      <c r="AL216" s="483">
        <f t="shared" si="44"/>
        <v>-9.5057034220529001E-4</v>
      </c>
      <c r="AM216" s="489">
        <f t="shared" si="44"/>
        <v>0</v>
      </c>
    </row>
    <row r="217" spans="2:39" ht="15.75" thickBot="1" x14ac:dyDescent="0.3">
      <c r="B217" s="24" t="s">
        <v>195</v>
      </c>
      <c r="C217" s="896"/>
      <c r="D217" s="897"/>
      <c r="E217" s="365"/>
      <c r="F217" s="365"/>
      <c r="G217" s="365"/>
      <c r="H217" s="365"/>
      <c r="I217" s="365"/>
      <c r="J217" s="365"/>
      <c r="K217" s="365"/>
      <c r="L217" s="365"/>
      <c r="M217" s="365"/>
      <c r="N217" s="365"/>
      <c r="O217" s="365"/>
      <c r="P217" s="365"/>
      <c r="Q217" s="365"/>
      <c r="R217" s="365"/>
      <c r="S217" s="365"/>
      <c r="T217" s="365"/>
      <c r="U217" s="365"/>
      <c r="V217" s="365"/>
      <c r="W217" s="365"/>
      <c r="X217" s="365"/>
      <c r="Y217" s="365"/>
      <c r="Z217" s="365"/>
      <c r="AA217" s="365"/>
      <c r="AB217" s="365"/>
      <c r="AH217" s="490">
        <f t="shared" ref="AH217:AM217" si="45">IFERROR((AH92-AH195)/AH195,0)</f>
        <v>0</v>
      </c>
      <c r="AI217" s="491">
        <f t="shared" si="45"/>
        <v>0</v>
      </c>
      <c r="AJ217" s="491">
        <f t="shared" si="45"/>
        <v>-8.4027252081756279E-2</v>
      </c>
      <c r="AK217" s="491">
        <f t="shared" si="45"/>
        <v>0</v>
      </c>
      <c r="AL217" s="491">
        <f t="shared" si="45"/>
        <v>-1.0016025641034049E-4</v>
      </c>
      <c r="AM217" s="492">
        <f t="shared" si="45"/>
        <v>0</v>
      </c>
    </row>
    <row r="218" spans="2:39" x14ac:dyDescent="0.25">
      <c r="B218" s="20" t="s">
        <v>247</v>
      </c>
      <c r="C218" s="886" t="s">
        <v>275</v>
      </c>
      <c r="D218" s="887"/>
      <c r="E218" s="365"/>
      <c r="F218" s="365"/>
      <c r="G218" s="365"/>
      <c r="H218" s="365"/>
      <c r="I218" s="365"/>
      <c r="J218" s="365"/>
      <c r="K218" s="365"/>
      <c r="L218" s="365"/>
      <c r="M218" s="365"/>
      <c r="N218" s="365"/>
      <c r="O218" s="365"/>
      <c r="P218" s="365"/>
      <c r="Q218" s="365"/>
      <c r="R218" s="365"/>
      <c r="S218" s="365"/>
      <c r="T218" s="365"/>
      <c r="U218" s="365"/>
      <c r="V218" s="365"/>
      <c r="W218" s="365"/>
      <c r="X218" s="365"/>
      <c r="Y218" s="365"/>
      <c r="Z218" s="365"/>
      <c r="AA218" s="365"/>
      <c r="AB218" s="365"/>
      <c r="AH218" s="485">
        <f t="shared" ref="AH218:AM218" si="46">IFERROR((AH93-AH196)/AH196,0)</f>
        <v>0.71523491306342313</v>
      </c>
      <c r="AI218" s="486">
        <f t="shared" si="46"/>
        <v>0.74816220361191177</v>
      </c>
      <c r="AJ218" s="486">
        <f t="shared" si="46"/>
        <v>0.73693566107954489</v>
      </c>
      <c r="AK218" s="486">
        <f t="shared" si="46"/>
        <v>0.66495373274818648</v>
      </c>
      <c r="AL218" s="486">
        <f t="shared" si="46"/>
        <v>0.73985838757771649</v>
      </c>
      <c r="AM218" s="487">
        <f t="shared" si="46"/>
        <v>0.59613829697415166</v>
      </c>
    </row>
    <row r="219" spans="2:39" x14ac:dyDescent="0.25">
      <c r="B219" s="21" t="s">
        <v>188</v>
      </c>
      <c r="C219" s="888"/>
      <c r="D219" s="889"/>
      <c r="E219" s="365"/>
      <c r="F219" s="365"/>
      <c r="G219" s="365"/>
      <c r="H219" s="365"/>
      <c r="I219" s="365"/>
      <c r="J219" s="365"/>
      <c r="K219" s="365"/>
      <c r="L219" s="365"/>
      <c r="M219" s="365"/>
      <c r="N219" s="365"/>
      <c r="O219" s="365"/>
      <c r="P219" s="365"/>
      <c r="Q219" s="365"/>
      <c r="R219" s="365"/>
      <c r="S219" s="365"/>
      <c r="T219" s="365"/>
      <c r="U219" s="365"/>
      <c r="V219" s="365"/>
      <c r="W219" s="365"/>
      <c r="X219" s="365"/>
      <c r="Y219" s="365"/>
      <c r="Z219" s="365"/>
      <c r="AA219" s="365"/>
      <c r="AB219" s="365"/>
      <c r="AH219" s="488">
        <f t="shared" ref="AH219:AM219" si="47">IFERROR((AH94-AH197)/AH197,0)</f>
        <v>2.3980754175211039</v>
      </c>
      <c r="AI219" s="483">
        <f t="shared" si="47"/>
        <v>2.2338061150081647</v>
      </c>
      <c r="AJ219" s="483">
        <f t="shared" si="47"/>
        <v>2.0469105517946482</v>
      </c>
      <c r="AK219" s="483">
        <f t="shared" si="47"/>
        <v>2.137087075232134</v>
      </c>
      <c r="AL219" s="483">
        <f t="shared" si="47"/>
        <v>1.723301170898428</v>
      </c>
      <c r="AM219" s="489">
        <f t="shared" si="47"/>
        <v>1.6866800973107579</v>
      </c>
    </row>
    <row r="220" spans="2:39" x14ac:dyDescent="0.25">
      <c r="B220" s="21" t="s">
        <v>189</v>
      </c>
      <c r="C220" s="888"/>
      <c r="D220" s="889"/>
      <c r="E220" s="365"/>
      <c r="F220" s="365"/>
      <c r="G220" s="365"/>
      <c r="H220" s="365"/>
      <c r="I220" s="365"/>
      <c r="J220" s="365"/>
      <c r="K220" s="365"/>
      <c r="L220" s="365"/>
      <c r="M220" s="365"/>
      <c r="N220" s="365"/>
      <c r="O220" s="365"/>
      <c r="P220" s="365"/>
      <c r="Q220" s="365"/>
      <c r="R220" s="365"/>
      <c r="S220" s="365"/>
      <c r="T220" s="365"/>
      <c r="U220" s="365"/>
      <c r="V220" s="365"/>
      <c r="W220" s="365"/>
      <c r="X220" s="365"/>
      <c r="Y220" s="365"/>
      <c r="Z220" s="365"/>
      <c r="AA220" s="365"/>
      <c r="AB220" s="365"/>
      <c r="AH220" s="488">
        <f t="shared" ref="AH220:AM220" si="48">IFERROR((AH95-AH198)/AH198,0)</f>
        <v>0.10975826655864718</v>
      </c>
      <c r="AI220" s="483">
        <f t="shared" si="48"/>
        <v>0.11154294888524384</v>
      </c>
      <c r="AJ220" s="483">
        <f t="shared" si="48"/>
        <v>0.15486446978958451</v>
      </c>
      <c r="AK220" s="483">
        <f t="shared" si="48"/>
        <v>0.13287331683069767</v>
      </c>
      <c r="AL220" s="483">
        <f t="shared" si="48"/>
        <v>0.20321279295661338</v>
      </c>
      <c r="AM220" s="489">
        <f t="shared" si="48"/>
        <v>0.12377668448880294</v>
      </c>
    </row>
    <row r="221" spans="2:39" ht="15.75" thickBot="1" x14ac:dyDescent="0.3">
      <c r="B221" s="21" t="s">
        <v>195</v>
      </c>
      <c r="C221" s="890"/>
      <c r="D221" s="891"/>
      <c r="E221" s="365"/>
      <c r="F221" s="365"/>
      <c r="G221" s="365"/>
      <c r="H221" s="365"/>
      <c r="I221" s="365"/>
      <c r="J221" s="365"/>
      <c r="K221" s="365"/>
      <c r="L221" s="365"/>
      <c r="M221" s="365"/>
      <c r="N221" s="365"/>
      <c r="O221" s="365"/>
      <c r="P221" s="365"/>
      <c r="Q221" s="365"/>
      <c r="R221" s="365"/>
      <c r="S221" s="365"/>
      <c r="T221" s="365"/>
      <c r="U221" s="365"/>
      <c r="V221" s="365"/>
      <c r="W221" s="365"/>
      <c r="X221" s="365"/>
      <c r="Y221" s="365"/>
      <c r="Z221" s="365"/>
      <c r="AA221" s="365"/>
      <c r="AB221" s="365"/>
      <c r="AH221" s="490">
        <f t="shared" ref="AH221:AM221" si="49">IFERROR((AH96-AH199)/AH199,0)</f>
        <v>1.5491933007834913</v>
      </c>
      <c r="AI221" s="491">
        <f t="shared" si="49"/>
        <v>1.840295665936486</v>
      </c>
      <c r="AJ221" s="491">
        <f t="shared" si="49"/>
        <v>2.1404587384593485</v>
      </c>
      <c r="AK221" s="491">
        <f t="shared" si="49"/>
        <v>1.9311062896682138</v>
      </c>
      <c r="AL221" s="491">
        <f t="shared" si="49"/>
        <v>2.6036995131117937</v>
      </c>
      <c r="AM221" s="492">
        <f t="shared" si="49"/>
        <v>1.6216674806320825</v>
      </c>
    </row>
    <row r="222" spans="2:39" x14ac:dyDescent="0.25">
      <c r="B222" s="22" t="s">
        <v>247</v>
      </c>
      <c r="C222" s="892" t="s">
        <v>276</v>
      </c>
      <c r="D222" s="893"/>
      <c r="E222" s="365"/>
      <c r="F222" s="365"/>
      <c r="G222" s="365"/>
      <c r="H222" s="365"/>
      <c r="I222" s="365"/>
      <c r="J222" s="365"/>
      <c r="K222" s="365"/>
      <c r="L222" s="365"/>
      <c r="M222" s="365"/>
      <c r="N222" s="365"/>
      <c r="O222" s="365"/>
      <c r="P222" s="365"/>
      <c r="Q222" s="365"/>
      <c r="R222" s="365"/>
      <c r="S222" s="365"/>
      <c r="T222" s="365"/>
      <c r="U222" s="365"/>
      <c r="V222" s="365"/>
      <c r="W222" s="365"/>
      <c r="X222" s="365"/>
      <c r="Y222" s="365"/>
      <c r="Z222" s="365"/>
      <c r="AA222" s="365"/>
      <c r="AB222" s="365"/>
      <c r="AH222" s="485">
        <f t="shared" ref="AH222:AM222" si="50">IFERROR((AH97-AH200)/AH200,0)</f>
        <v>0.32315975940898617</v>
      </c>
      <c r="AI222" s="486">
        <f t="shared" si="50"/>
        <v>0.2701003282853997</v>
      </c>
      <c r="AJ222" s="486">
        <f t="shared" si="50"/>
        <v>0.34859938585658479</v>
      </c>
      <c r="AK222" s="486">
        <f t="shared" si="50"/>
        <v>0.39446703053162691</v>
      </c>
      <c r="AL222" s="486">
        <f t="shared" si="50"/>
        <v>0.3954814075358829</v>
      </c>
      <c r="AM222" s="487">
        <f t="shared" si="50"/>
        <v>0.50836561922616452</v>
      </c>
    </row>
    <row r="223" spans="2:39" x14ac:dyDescent="0.25">
      <c r="B223" s="22" t="s">
        <v>188</v>
      </c>
      <c r="C223" s="894"/>
      <c r="D223" s="895"/>
      <c r="E223" s="365"/>
      <c r="F223" s="365"/>
      <c r="G223" s="365"/>
      <c r="H223" s="365"/>
      <c r="I223" s="365"/>
      <c r="J223" s="365"/>
      <c r="K223" s="365"/>
      <c r="L223" s="365"/>
      <c r="M223" s="365"/>
      <c r="N223" s="365"/>
      <c r="O223" s="365"/>
      <c r="P223" s="365"/>
      <c r="Q223" s="365"/>
      <c r="R223" s="365"/>
      <c r="S223" s="365"/>
      <c r="T223" s="365"/>
      <c r="U223" s="365"/>
      <c r="V223" s="365"/>
      <c r="W223" s="365"/>
      <c r="X223" s="365"/>
      <c r="Y223" s="365"/>
      <c r="Z223" s="365"/>
      <c r="AA223" s="365"/>
      <c r="AB223" s="365"/>
      <c r="AH223" s="488">
        <f t="shared" ref="AH223:AM223" si="51">IFERROR((AH98-AH201)/AH201,0)</f>
        <v>0.47773466118260044</v>
      </c>
      <c r="AI223" s="483">
        <f t="shared" si="51"/>
        <v>0.32824405771102927</v>
      </c>
      <c r="AJ223" s="483">
        <f t="shared" si="51"/>
        <v>0.41168906875247296</v>
      </c>
      <c r="AK223" s="483">
        <f t="shared" si="51"/>
        <v>0.47850059738910145</v>
      </c>
      <c r="AL223" s="483">
        <f t="shared" si="51"/>
        <v>0.4854090451157787</v>
      </c>
      <c r="AM223" s="489">
        <f t="shared" si="51"/>
        <v>0.6116381454923896</v>
      </c>
    </row>
    <row r="224" spans="2:39" x14ac:dyDescent="0.25">
      <c r="B224" s="22" t="s">
        <v>189</v>
      </c>
      <c r="C224" s="894"/>
      <c r="D224" s="895"/>
      <c r="E224" s="365"/>
      <c r="F224" s="365"/>
      <c r="G224" s="365"/>
      <c r="H224" s="365"/>
      <c r="I224" s="365"/>
      <c r="J224" s="365"/>
      <c r="K224" s="365"/>
      <c r="L224" s="365"/>
      <c r="M224" s="365"/>
      <c r="N224" s="365"/>
      <c r="O224" s="365"/>
      <c r="P224" s="365"/>
      <c r="Q224" s="365"/>
      <c r="R224" s="365"/>
      <c r="S224" s="365"/>
      <c r="T224" s="365"/>
      <c r="U224" s="365"/>
      <c r="V224" s="365"/>
      <c r="W224" s="365"/>
      <c r="X224" s="365"/>
      <c r="Y224" s="365"/>
      <c r="Z224" s="365"/>
      <c r="AA224" s="365"/>
      <c r="AB224" s="365"/>
      <c r="AH224" s="488">
        <f t="shared" ref="AH224:AM224" si="52">IFERROR((AH99-AH202)/AH202,0)</f>
        <v>5.3501657922962492E-2</v>
      </c>
      <c r="AI224" s="483">
        <f t="shared" si="52"/>
        <v>0.15469775587445658</v>
      </c>
      <c r="AJ224" s="483">
        <f t="shared" si="52"/>
        <v>0.22680252244416124</v>
      </c>
      <c r="AK224" s="483">
        <f t="shared" si="52"/>
        <v>0.21258071433677253</v>
      </c>
      <c r="AL224" s="483">
        <f t="shared" si="52"/>
        <v>0.22712814591856476</v>
      </c>
      <c r="AM224" s="489">
        <f t="shared" si="52"/>
        <v>0.30039072583997317</v>
      </c>
    </row>
    <row r="225" spans="2:39" ht="15.75" thickBot="1" x14ac:dyDescent="0.3">
      <c r="B225" s="24" t="s">
        <v>195</v>
      </c>
      <c r="C225" s="896"/>
      <c r="D225" s="897"/>
      <c r="E225" s="365"/>
      <c r="F225" s="365"/>
      <c r="G225" s="365"/>
      <c r="H225" s="365"/>
      <c r="I225" s="365"/>
      <c r="J225" s="365"/>
      <c r="K225" s="365"/>
      <c r="L225" s="365"/>
      <c r="M225" s="365"/>
      <c r="N225" s="365"/>
      <c r="O225" s="365"/>
      <c r="P225" s="365"/>
      <c r="Q225" s="365"/>
      <c r="R225" s="365"/>
      <c r="S225" s="365"/>
      <c r="T225" s="365"/>
      <c r="U225" s="365"/>
      <c r="V225" s="365"/>
      <c r="W225" s="365"/>
      <c r="X225" s="365"/>
      <c r="Y225" s="365"/>
      <c r="Z225" s="365"/>
      <c r="AA225" s="365"/>
      <c r="AB225" s="365"/>
      <c r="AH225" s="490">
        <f t="shared" ref="AH225:AM225" si="53">IFERROR((AH100-AH203)/AH203,0)</f>
        <v>9.5967168186639321E-2</v>
      </c>
      <c r="AI225" s="491">
        <f t="shared" si="53"/>
        <v>0.11558505251238041</v>
      </c>
      <c r="AJ225" s="491">
        <f t="shared" si="53"/>
        <v>0.17722359883525685</v>
      </c>
      <c r="AK225" s="491">
        <f t="shared" si="53"/>
        <v>0.21847108821343272</v>
      </c>
      <c r="AL225" s="491">
        <f t="shared" si="53"/>
        <v>0.18453589161627082</v>
      </c>
      <c r="AM225" s="492">
        <f t="shared" si="53"/>
        <v>0.27862781347543464</v>
      </c>
    </row>
    <row r="226" spans="2:39" x14ac:dyDescent="0.25">
      <c r="E226" s="365"/>
      <c r="F226" s="365"/>
      <c r="G226" s="365"/>
      <c r="H226" s="365"/>
      <c r="I226" s="365"/>
      <c r="J226" s="365"/>
      <c r="K226" s="365"/>
      <c r="L226" s="365"/>
      <c r="M226" s="365"/>
      <c r="N226" s="365"/>
      <c r="O226" s="365"/>
      <c r="P226" s="365"/>
      <c r="Q226" s="365"/>
      <c r="R226" s="365"/>
      <c r="S226" s="365"/>
      <c r="T226" s="365"/>
      <c r="U226" s="365"/>
      <c r="V226" s="365"/>
      <c r="W226" s="365"/>
      <c r="X226" s="365"/>
      <c r="Y226" s="365"/>
      <c r="Z226" s="365"/>
      <c r="AA226" s="365"/>
      <c r="AB226" s="365"/>
    </row>
    <row r="227" spans="2:39" x14ac:dyDescent="0.25">
      <c r="E227" s="365"/>
      <c r="F227" s="365"/>
      <c r="G227" s="365"/>
      <c r="H227" s="365"/>
      <c r="I227" s="365"/>
      <c r="J227" s="365"/>
      <c r="K227" s="365"/>
      <c r="L227" s="365"/>
      <c r="M227" s="365"/>
    </row>
    <row r="228" spans="2:39" x14ac:dyDescent="0.25">
      <c r="E228" s="365"/>
      <c r="F228" s="365"/>
      <c r="G228" s="365"/>
      <c r="H228" s="365"/>
      <c r="I228" s="365"/>
      <c r="J228" s="365"/>
      <c r="K228" s="365"/>
      <c r="L228" s="365"/>
      <c r="M228" s="365"/>
    </row>
    <row r="229" spans="2:39" x14ac:dyDescent="0.25">
      <c r="E229" s="365"/>
      <c r="F229" s="365"/>
      <c r="G229" s="365"/>
      <c r="H229" s="365"/>
      <c r="I229" s="365"/>
      <c r="J229" s="365"/>
      <c r="K229" s="365"/>
      <c r="L229" s="365"/>
      <c r="M229" s="365"/>
    </row>
  </sheetData>
  <mergeCells count="82">
    <mergeCell ref="B1:AM1"/>
    <mergeCell ref="B56:D56"/>
    <mergeCell ref="A117:A119"/>
    <mergeCell ref="B117:B119"/>
    <mergeCell ref="C117:C119"/>
    <mergeCell ref="A111:A113"/>
    <mergeCell ref="B111:B113"/>
    <mergeCell ref="C111:C113"/>
    <mergeCell ref="A114:A116"/>
    <mergeCell ref="B114:B116"/>
    <mergeCell ref="C114:C116"/>
    <mergeCell ref="B104:I104"/>
    <mergeCell ref="B105:I105"/>
    <mergeCell ref="B38:I38"/>
    <mergeCell ref="B39:J39"/>
    <mergeCell ref="B40:J40"/>
    <mergeCell ref="B52:D52"/>
    <mergeCell ref="B53:D53"/>
    <mergeCell ref="B41:J41"/>
    <mergeCell ref="B46:D46"/>
    <mergeCell ref="B47:D47"/>
    <mergeCell ref="B48:D48"/>
    <mergeCell ref="B45:D45"/>
    <mergeCell ref="B36:J36"/>
    <mergeCell ref="B37:J37"/>
    <mergeCell ref="E3:J3"/>
    <mergeCell ref="B9:B11"/>
    <mergeCell ref="C9:C11"/>
    <mergeCell ref="B20:J20"/>
    <mergeCell ref="B21:J21"/>
    <mergeCell ref="B22:J22"/>
    <mergeCell ref="E25:J25"/>
    <mergeCell ref="B35:J35"/>
    <mergeCell ref="B15:J15"/>
    <mergeCell ref="B16:J16"/>
    <mergeCell ref="B17:J17"/>
    <mergeCell ref="B18:J18"/>
    <mergeCell ref="B19:J19"/>
    <mergeCell ref="A137:A139"/>
    <mergeCell ref="A140:A142"/>
    <mergeCell ref="B140:B142"/>
    <mergeCell ref="C140:C142"/>
    <mergeCell ref="C137:C139"/>
    <mergeCell ref="B137:B139"/>
    <mergeCell ref="B54:D54"/>
    <mergeCell ref="B55:D55"/>
    <mergeCell ref="A124:A125"/>
    <mergeCell ref="B124:B125"/>
    <mergeCell ref="C124:C125"/>
    <mergeCell ref="C61:D64"/>
    <mergeCell ref="C65:D68"/>
    <mergeCell ref="C60:D60"/>
    <mergeCell ref="C69:D72"/>
    <mergeCell ref="C73:D76"/>
    <mergeCell ref="C77:D80"/>
    <mergeCell ref="C81:D84"/>
    <mergeCell ref="C85:D88"/>
    <mergeCell ref="C89:D92"/>
    <mergeCell ref="C93:D96"/>
    <mergeCell ref="C97:D100"/>
    <mergeCell ref="B126:B127"/>
    <mergeCell ref="B128:B129"/>
    <mergeCell ref="C126:C127"/>
    <mergeCell ref="C128:C129"/>
    <mergeCell ref="A126:A127"/>
    <mergeCell ref="A128:A129"/>
    <mergeCell ref="C163:D163"/>
    <mergeCell ref="C164:D167"/>
    <mergeCell ref="C168:D171"/>
    <mergeCell ref="C172:D175"/>
    <mergeCell ref="C176:D179"/>
    <mergeCell ref="C180:D183"/>
    <mergeCell ref="C184:D187"/>
    <mergeCell ref="C188:D191"/>
    <mergeCell ref="C192:D195"/>
    <mergeCell ref="C196:D199"/>
    <mergeCell ref="C218:D221"/>
    <mergeCell ref="C222:D225"/>
    <mergeCell ref="C210:D213"/>
    <mergeCell ref="C214:D217"/>
    <mergeCell ref="C200:D203"/>
    <mergeCell ref="C209:D209"/>
  </mergeCells>
  <pageMargins left="0.7" right="0.7" top="0.75" bottom="0.75" header="0.51180555555555496" footer="0.51180555555555496"/>
  <pageSetup paperSize="8" scale="34" firstPageNumber="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227"/>
  <sheetViews>
    <sheetView tabSelected="1" view="pageBreakPreview" topLeftCell="A46" zoomScale="70" zoomScaleNormal="67" zoomScaleSheetLayoutView="70" workbookViewId="0">
      <pane xSplit="4" topLeftCell="S1" activePane="topRight" state="frozen"/>
      <selection activeCell="A29" sqref="A29"/>
      <selection pane="topRight" activeCell="AD62" sqref="AD62"/>
    </sheetView>
  </sheetViews>
  <sheetFormatPr baseColWidth="10" defaultRowHeight="15" x14ac:dyDescent="0.25"/>
  <cols>
    <col min="1" max="1" width="8.5703125" customWidth="1"/>
    <col min="2" max="2" width="39.5703125" customWidth="1"/>
    <col min="3" max="4" width="17.28515625" customWidth="1"/>
    <col min="5" max="8" width="12.140625" customWidth="1"/>
    <col min="9" max="10" width="11" customWidth="1"/>
    <col min="11" max="12" width="8.85546875" bestFit="1" customWidth="1"/>
    <col min="15" max="15" width="14.7109375" customWidth="1"/>
    <col min="19" max="19" width="13.7109375" customWidth="1"/>
    <col min="20" max="20" width="13.85546875" customWidth="1"/>
    <col min="29" max="32" width="11.42578125" style="365"/>
  </cols>
  <sheetData>
    <row r="1" spans="2:36" ht="23.25" x14ac:dyDescent="0.35">
      <c r="B1" s="959" t="s">
        <v>209</v>
      </c>
      <c r="C1" s="959"/>
      <c r="D1" s="959"/>
      <c r="E1" s="959"/>
      <c r="F1" s="959"/>
      <c r="G1" s="959"/>
      <c r="H1" s="959"/>
      <c r="I1" s="959"/>
      <c r="J1" s="959"/>
      <c r="K1" s="959"/>
      <c r="L1" s="959"/>
      <c r="M1" s="959"/>
      <c r="N1" s="959"/>
      <c r="O1" s="959"/>
      <c r="P1" s="959"/>
      <c r="Q1" s="959"/>
      <c r="R1" s="959"/>
      <c r="S1" s="959"/>
      <c r="T1" s="959"/>
      <c r="U1" s="959"/>
      <c r="V1" s="959"/>
      <c r="W1" s="959"/>
      <c r="X1" s="959"/>
      <c r="Y1" s="959"/>
      <c r="Z1" s="959"/>
      <c r="AA1" s="959"/>
      <c r="AB1" s="959"/>
      <c r="AC1" s="959"/>
      <c r="AD1" s="959"/>
      <c r="AE1" s="959"/>
      <c r="AF1" s="959"/>
      <c r="AG1" s="959"/>
      <c r="AH1" s="959"/>
      <c r="AI1" s="959"/>
      <c r="AJ1" s="959"/>
    </row>
    <row r="3" spans="2:36" x14ac:dyDescent="0.25">
      <c r="B3" s="672" t="s">
        <v>0</v>
      </c>
      <c r="C3" s="673"/>
      <c r="D3" s="673"/>
      <c r="E3" s="673"/>
      <c r="F3" s="673"/>
      <c r="G3" s="673"/>
      <c r="H3" s="673"/>
      <c r="I3" s="673"/>
      <c r="J3" s="673"/>
      <c r="K3" s="673"/>
      <c r="L3" s="673"/>
      <c r="M3" s="674"/>
      <c r="N3" s="674"/>
      <c r="O3" s="674"/>
      <c r="P3" s="674"/>
      <c r="Q3" s="674"/>
      <c r="R3" s="674"/>
      <c r="S3" s="674"/>
      <c r="T3" s="674"/>
      <c r="U3" s="674"/>
      <c r="V3" s="674"/>
      <c r="W3" s="674"/>
    </row>
    <row r="4" spans="2:36" x14ac:dyDescent="0.25">
      <c r="B4" s="675" t="s">
        <v>2</v>
      </c>
      <c r="C4" s="676" t="s">
        <v>3</v>
      </c>
      <c r="D4" s="676"/>
      <c r="E4" s="676">
        <v>2014</v>
      </c>
      <c r="F4" s="676">
        <v>2015</v>
      </c>
      <c r="G4" s="676">
        <v>2016</v>
      </c>
      <c r="H4" s="676">
        <v>2017</v>
      </c>
      <c r="I4" s="677">
        <v>2018</v>
      </c>
      <c r="J4" s="678">
        <v>2019</v>
      </c>
      <c r="K4" s="679">
        <v>2020</v>
      </c>
      <c r="L4" s="673"/>
      <c r="M4" s="680" t="s">
        <v>363</v>
      </c>
      <c r="N4" s="673"/>
      <c r="O4" s="673"/>
      <c r="P4" s="674"/>
      <c r="Q4" s="680" t="s">
        <v>337</v>
      </c>
      <c r="R4" s="674"/>
      <c r="S4" s="674"/>
      <c r="T4" s="674"/>
      <c r="U4" s="674"/>
      <c r="V4" s="674"/>
      <c r="W4" s="674"/>
    </row>
    <row r="5" spans="2:36" x14ac:dyDescent="0.25">
      <c r="B5" s="681" t="s">
        <v>4</v>
      </c>
      <c r="C5" s="682" t="s">
        <v>5</v>
      </c>
      <c r="D5" s="682"/>
      <c r="E5" s="683">
        <v>2213.3000000000002</v>
      </c>
      <c r="F5" s="683">
        <v>2227.268867686767</v>
      </c>
      <c r="G5" s="683">
        <v>2256.3000000000002</v>
      </c>
      <c r="H5" s="683">
        <v>2226</v>
      </c>
      <c r="I5" s="684">
        <v>2235</v>
      </c>
      <c r="J5" s="685">
        <v>2263</v>
      </c>
      <c r="K5" s="679">
        <v>2286</v>
      </c>
      <c r="L5" s="673"/>
      <c r="M5" s="674"/>
      <c r="N5" s="673"/>
      <c r="O5" s="673"/>
      <c r="P5" s="674"/>
      <c r="Q5" s="674"/>
      <c r="R5" s="674"/>
      <c r="S5" s="674"/>
      <c r="T5" s="674"/>
      <c r="U5" s="674"/>
      <c r="V5" s="674"/>
      <c r="W5" s="674"/>
    </row>
    <row r="6" spans="2:36" x14ac:dyDescent="0.25">
      <c r="B6" s="681" t="s">
        <v>6</v>
      </c>
      <c r="C6" s="686">
        <v>1000</v>
      </c>
      <c r="D6" s="686" t="s">
        <v>134</v>
      </c>
      <c r="E6" s="683">
        <v>3743882.7050000005</v>
      </c>
      <c r="F6" s="683">
        <v>3653106.0950000002</v>
      </c>
      <c r="G6" s="683">
        <v>3908240</v>
      </c>
      <c r="H6" s="683">
        <v>4134440</v>
      </c>
      <c r="I6" s="683">
        <v>4039995</v>
      </c>
      <c r="J6" s="687" t="s">
        <v>23</v>
      </c>
      <c r="K6" s="688" t="s">
        <v>23</v>
      </c>
      <c r="L6" s="673"/>
      <c r="M6" s="689" t="s">
        <v>232</v>
      </c>
      <c r="N6" s="673"/>
      <c r="O6" s="690">
        <f>AN57</f>
        <v>0</v>
      </c>
      <c r="P6" s="674"/>
      <c r="Q6" s="689" t="s">
        <v>232</v>
      </c>
      <c r="R6" s="689"/>
      <c r="S6" s="690">
        <f>AM57</f>
        <v>0</v>
      </c>
      <c r="T6" s="673"/>
      <c r="U6" s="673"/>
      <c r="V6" s="673"/>
      <c r="W6" s="673"/>
    </row>
    <row r="7" spans="2:36" x14ac:dyDescent="0.25">
      <c r="B7" s="681" t="s">
        <v>8</v>
      </c>
      <c r="C7" s="682" t="s">
        <v>135</v>
      </c>
      <c r="D7" s="682"/>
      <c r="E7" s="683">
        <v>2123.8399999999997</v>
      </c>
      <c r="F7" s="683">
        <v>2155.0425714000044</v>
      </c>
      <c r="G7" s="683">
        <v>2113.2099999999996</v>
      </c>
      <c r="H7" s="683">
        <v>2117</v>
      </c>
      <c r="I7" s="684">
        <v>2076</v>
      </c>
      <c r="J7" s="691">
        <v>2131</v>
      </c>
      <c r="K7" s="684">
        <v>2116</v>
      </c>
      <c r="L7" s="673"/>
      <c r="M7" s="674" t="s">
        <v>244</v>
      </c>
      <c r="N7" s="673"/>
      <c r="O7" s="692">
        <f>K89</f>
        <v>0</v>
      </c>
      <c r="P7" s="674"/>
      <c r="Q7" s="674" t="s">
        <v>244</v>
      </c>
      <c r="R7" s="674"/>
      <c r="S7" s="692">
        <f>J89</f>
        <v>0</v>
      </c>
      <c r="T7" s="673"/>
      <c r="U7" s="673"/>
      <c r="V7" s="673"/>
      <c r="W7" s="673"/>
    </row>
    <row r="8" spans="2:36" x14ac:dyDescent="0.25">
      <c r="B8" s="681" t="s">
        <v>10</v>
      </c>
      <c r="C8" s="686">
        <v>1000</v>
      </c>
      <c r="D8" s="686" t="s">
        <v>11</v>
      </c>
      <c r="E8" s="693">
        <v>9692.0235820800008</v>
      </c>
      <c r="F8" s="693">
        <v>9440.0784999999996</v>
      </c>
      <c r="G8" s="693">
        <v>9452.601990000001</v>
      </c>
      <c r="H8" s="693">
        <v>9489.7654399999992</v>
      </c>
      <c r="I8" s="693">
        <v>9357.9524399999991</v>
      </c>
      <c r="J8" s="694">
        <v>9415.8206599999994</v>
      </c>
      <c r="K8" s="693">
        <v>10022.572</v>
      </c>
      <c r="L8" s="673"/>
      <c r="M8" s="689" t="s">
        <v>253</v>
      </c>
      <c r="N8" s="673"/>
      <c r="O8" s="690">
        <f>AN55</f>
        <v>42</v>
      </c>
      <c r="P8" s="674"/>
      <c r="Q8" s="689" t="s">
        <v>253</v>
      </c>
      <c r="R8" s="689"/>
      <c r="S8" s="690">
        <f>AM55</f>
        <v>80</v>
      </c>
      <c r="T8" s="673"/>
      <c r="U8" s="673"/>
      <c r="V8" s="673"/>
      <c r="W8" s="673"/>
    </row>
    <row r="9" spans="2:36" x14ac:dyDescent="0.25">
      <c r="B9" s="1012" t="s">
        <v>136</v>
      </c>
      <c r="C9" s="1011" t="s">
        <v>13</v>
      </c>
      <c r="D9" s="686" t="s">
        <v>14</v>
      </c>
      <c r="E9" s="695">
        <v>2.0548701550585924</v>
      </c>
      <c r="F9" s="695">
        <v>1.9584652831788547</v>
      </c>
      <c r="G9" s="695">
        <v>1.9682763012513131</v>
      </c>
      <c r="H9" s="695">
        <v>2.1529385051309111</v>
      </c>
      <c r="I9" s="688" t="s">
        <v>7</v>
      </c>
      <c r="J9" s="687" t="s">
        <v>23</v>
      </c>
      <c r="K9" s="679"/>
      <c r="L9" s="673"/>
      <c r="M9" s="673"/>
      <c r="N9" s="673"/>
      <c r="O9" s="673"/>
      <c r="P9" s="674"/>
      <c r="Q9" s="673"/>
      <c r="R9" s="673"/>
      <c r="S9" s="674"/>
      <c r="T9" s="673"/>
      <c r="U9" s="673"/>
      <c r="V9" s="673"/>
      <c r="W9" s="673"/>
    </row>
    <row r="10" spans="2:36" x14ac:dyDescent="0.25">
      <c r="B10" s="1012"/>
      <c r="C10" s="1011"/>
      <c r="D10" s="682" t="s">
        <v>137</v>
      </c>
      <c r="E10" s="696">
        <v>2.6566250000000005</v>
      </c>
      <c r="F10" s="696">
        <v>2.4918125</v>
      </c>
      <c r="G10" s="696">
        <v>2.5980925925925926</v>
      </c>
      <c r="H10" s="696">
        <v>2.6335833333333336</v>
      </c>
      <c r="I10" s="696">
        <v>2.4385833333333338</v>
      </c>
      <c r="J10" s="697">
        <v>2.7</v>
      </c>
      <c r="K10" s="698">
        <v>2.73</v>
      </c>
      <c r="L10" s="673"/>
      <c r="M10" s="689" t="s">
        <v>231</v>
      </c>
      <c r="N10" s="673"/>
      <c r="O10" s="690">
        <f>AN69</f>
        <v>161.40800000000002</v>
      </c>
      <c r="P10" s="674"/>
      <c r="Q10" s="689" t="s">
        <v>231</v>
      </c>
      <c r="R10" s="689"/>
      <c r="S10" s="690">
        <f>AM69</f>
        <v>240.12800000000001</v>
      </c>
      <c r="T10" s="673"/>
      <c r="U10" s="673"/>
      <c r="V10" s="673"/>
      <c r="W10" s="673"/>
    </row>
    <row r="11" spans="2:36" x14ac:dyDescent="0.25">
      <c r="B11" s="1012"/>
      <c r="C11" s="1011"/>
      <c r="D11" s="682" t="s">
        <v>138</v>
      </c>
      <c r="E11" s="696">
        <v>2.2598750000000001</v>
      </c>
      <c r="F11" s="696">
        <v>2.2801921296296297</v>
      </c>
      <c r="G11" s="696">
        <v>2.4364444444444442</v>
      </c>
      <c r="H11" s="696">
        <v>2.5045833333333332</v>
      </c>
      <c r="I11" s="696">
        <v>2.3104583333333335</v>
      </c>
      <c r="J11" s="697">
        <v>2.69</v>
      </c>
      <c r="K11" s="679">
        <v>2.68</v>
      </c>
      <c r="L11" s="673"/>
      <c r="M11" s="689" t="s">
        <v>251</v>
      </c>
      <c r="N11" s="673"/>
      <c r="O11" s="690">
        <f>AN67</f>
        <v>29465.856000000003</v>
      </c>
      <c r="P11" s="674"/>
      <c r="Q11" s="689" t="s">
        <v>251</v>
      </c>
      <c r="R11" s="689"/>
      <c r="S11" s="690">
        <f>AM67</f>
        <v>26984.064000000002</v>
      </c>
      <c r="T11" s="673"/>
      <c r="U11" s="673"/>
      <c r="V11" s="673"/>
      <c r="W11" s="673"/>
    </row>
    <row r="12" spans="2:36" x14ac:dyDescent="0.25">
      <c r="B12" s="1012" t="s">
        <v>37</v>
      </c>
      <c r="C12" s="1011" t="s">
        <v>13</v>
      </c>
      <c r="D12" s="682" t="s">
        <v>139</v>
      </c>
      <c r="E12" s="696">
        <v>7.44</v>
      </c>
      <c r="F12" s="696">
        <v>7.4</v>
      </c>
      <c r="G12" s="696">
        <v>7.41</v>
      </c>
      <c r="H12" s="696">
        <v>7.51</v>
      </c>
      <c r="I12" s="696">
        <v>7.44</v>
      </c>
      <c r="J12" s="697">
        <v>7.73</v>
      </c>
      <c r="K12" s="679">
        <v>7.7</v>
      </c>
      <c r="L12" s="673"/>
      <c r="M12" s="674" t="s">
        <v>252</v>
      </c>
      <c r="N12" s="673"/>
      <c r="O12" s="692">
        <f>AN68</f>
        <v>6125.0560000000005</v>
      </c>
      <c r="P12" s="674"/>
      <c r="Q12" s="674" t="s">
        <v>252</v>
      </c>
      <c r="R12" s="674"/>
      <c r="S12" s="692">
        <f>AM68</f>
        <v>7199.3600000000006</v>
      </c>
      <c r="T12" s="673"/>
      <c r="U12" s="673"/>
      <c r="V12" s="673"/>
      <c r="W12" s="673"/>
    </row>
    <row r="13" spans="2:36" x14ac:dyDescent="0.25">
      <c r="B13" s="1012"/>
      <c r="C13" s="1011"/>
      <c r="D13" s="682" t="s">
        <v>140</v>
      </c>
      <c r="E13" s="696">
        <v>10.98</v>
      </c>
      <c r="F13" s="696">
        <v>10.9</v>
      </c>
      <c r="G13" s="696">
        <v>11.15</v>
      </c>
      <c r="H13" s="696">
        <v>11.57</v>
      </c>
      <c r="I13" s="696">
        <v>11.86</v>
      </c>
      <c r="J13" s="697">
        <v>12.25</v>
      </c>
      <c r="K13" s="679">
        <v>11.78</v>
      </c>
      <c r="L13" s="673"/>
      <c r="M13" s="673"/>
      <c r="N13" s="673"/>
      <c r="O13" s="673"/>
      <c r="P13" s="674"/>
      <c r="Q13" s="673"/>
      <c r="R13" s="673"/>
      <c r="S13" s="674"/>
      <c r="T13" s="673"/>
      <c r="U13" s="673"/>
      <c r="V13" s="673"/>
      <c r="W13" s="673"/>
    </row>
    <row r="14" spans="2:36" x14ac:dyDescent="0.25">
      <c r="B14" s="673"/>
      <c r="C14" s="699"/>
      <c r="D14" s="699"/>
      <c r="E14" s="673"/>
      <c r="F14" s="673"/>
      <c r="G14" s="673"/>
      <c r="H14" s="673"/>
      <c r="I14" s="674"/>
      <c r="J14" s="674"/>
      <c r="K14" s="673"/>
      <c r="L14" s="673"/>
      <c r="M14" s="689" t="s">
        <v>292</v>
      </c>
      <c r="N14" s="673"/>
      <c r="O14" s="690">
        <f>AN61</f>
        <v>8364</v>
      </c>
      <c r="P14" s="674" t="s">
        <v>285</v>
      </c>
      <c r="Q14" s="689" t="s">
        <v>292</v>
      </c>
      <c r="R14" s="674"/>
      <c r="S14" s="690">
        <f>AM61</f>
        <v>7523</v>
      </c>
      <c r="T14" s="674" t="s">
        <v>285</v>
      </c>
      <c r="U14" s="673"/>
      <c r="V14" s="673"/>
      <c r="W14" s="673"/>
    </row>
    <row r="15" spans="2:36" x14ac:dyDescent="0.25">
      <c r="B15" s="700" t="s">
        <v>18</v>
      </c>
      <c r="C15" s="699"/>
      <c r="D15" s="699"/>
      <c r="E15" s="673"/>
      <c r="F15" s="673"/>
      <c r="G15" s="673"/>
      <c r="H15" s="673"/>
      <c r="I15" s="674"/>
      <c r="J15" s="674"/>
      <c r="K15" s="673"/>
      <c r="L15" s="673"/>
      <c r="M15" s="689" t="s">
        <v>293</v>
      </c>
      <c r="N15" s="673"/>
      <c r="O15" s="690">
        <f>AN59</f>
        <v>227832</v>
      </c>
      <c r="P15" s="674" t="s">
        <v>285</v>
      </c>
      <c r="Q15" s="689" t="s">
        <v>293</v>
      </c>
      <c r="R15" s="674"/>
      <c r="S15" s="690">
        <f>AM59</f>
        <v>196439</v>
      </c>
      <c r="T15" s="674" t="s">
        <v>285</v>
      </c>
      <c r="U15" s="673"/>
      <c r="V15" s="673"/>
      <c r="W15" s="673"/>
    </row>
    <row r="16" spans="2:36" x14ac:dyDescent="0.25">
      <c r="B16" s="1009" t="s">
        <v>380</v>
      </c>
      <c r="C16" s="1009"/>
      <c r="D16" s="1009"/>
      <c r="E16" s="1009"/>
      <c r="F16" s="1009"/>
      <c r="G16" s="1009"/>
      <c r="H16" s="1009"/>
      <c r="I16" s="1009"/>
      <c r="J16" s="1009"/>
      <c r="K16" s="673"/>
      <c r="L16" s="673"/>
      <c r="M16" s="674" t="s">
        <v>246</v>
      </c>
      <c r="N16" s="673"/>
      <c r="O16" s="701">
        <f>O15/K5/1000</f>
        <v>9.9664041994750666E-2</v>
      </c>
      <c r="P16" s="674"/>
      <c r="Q16" s="674" t="s">
        <v>246</v>
      </c>
      <c r="R16" s="674"/>
      <c r="S16" s="701">
        <f>S15/J5/1000</f>
        <v>8.6804684047724262E-2</v>
      </c>
      <c r="T16" s="673"/>
      <c r="U16" s="673"/>
      <c r="V16" s="673"/>
      <c r="W16" s="673"/>
    </row>
    <row r="17" spans="2:23" x14ac:dyDescent="0.25">
      <c r="B17" s="1010" t="s">
        <v>381</v>
      </c>
      <c r="C17" s="1010"/>
      <c r="D17" s="1010"/>
      <c r="E17" s="1010"/>
      <c r="F17" s="1010"/>
      <c r="G17" s="1010"/>
      <c r="H17" s="1010"/>
      <c r="I17" s="1010"/>
      <c r="J17" s="1010"/>
      <c r="K17" s="673"/>
      <c r="L17" s="673"/>
      <c r="M17" s="674" t="s">
        <v>252</v>
      </c>
      <c r="N17" s="673"/>
      <c r="O17" s="692">
        <f>AN60</f>
        <v>98337</v>
      </c>
      <c r="P17" s="674"/>
      <c r="Q17" s="674" t="s">
        <v>252</v>
      </c>
      <c r="R17" s="674"/>
      <c r="S17" s="692">
        <f>AM60</f>
        <v>85249</v>
      </c>
      <c r="T17" s="673"/>
      <c r="U17" s="673"/>
      <c r="V17" s="673"/>
      <c r="W17" s="673"/>
    </row>
    <row r="18" spans="2:23" x14ac:dyDescent="0.25">
      <c r="B18" s="1009" t="s">
        <v>382</v>
      </c>
      <c r="C18" s="1009"/>
      <c r="D18" s="1009"/>
      <c r="E18" s="1009"/>
      <c r="F18" s="1009"/>
      <c r="G18" s="1009"/>
      <c r="H18" s="1009"/>
      <c r="I18" s="1009"/>
      <c r="J18" s="1009"/>
      <c r="K18" s="673"/>
      <c r="L18" s="673"/>
      <c r="M18" s="673"/>
      <c r="N18" s="673"/>
      <c r="O18" s="673"/>
      <c r="P18" s="674"/>
      <c r="Q18" s="673"/>
      <c r="R18" s="673"/>
      <c r="S18" s="674"/>
      <c r="T18" s="673"/>
      <c r="U18" s="673"/>
      <c r="V18" s="673"/>
      <c r="W18" s="673"/>
    </row>
    <row r="19" spans="2:23" x14ac:dyDescent="0.25">
      <c r="B19" s="1009" t="s">
        <v>383</v>
      </c>
      <c r="C19" s="1009"/>
      <c r="D19" s="1009"/>
      <c r="E19" s="1009"/>
      <c r="F19" s="1009"/>
      <c r="G19" s="1009"/>
      <c r="H19" s="1009"/>
      <c r="I19" s="1009"/>
      <c r="J19" s="1009"/>
      <c r="K19" s="673"/>
      <c r="L19" s="673"/>
      <c r="M19" s="567" t="s">
        <v>163</v>
      </c>
      <c r="N19" s="673"/>
      <c r="O19" s="690">
        <f>AN65</f>
        <v>431713</v>
      </c>
      <c r="P19" s="674"/>
      <c r="Q19" s="567" t="s">
        <v>163</v>
      </c>
      <c r="R19" s="567"/>
      <c r="S19" s="690">
        <f>AM65</f>
        <v>458338</v>
      </c>
      <c r="T19" s="673"/>
      <c r="U19" s="673"/>
      <c r="V19" s="673"/>
      <c r="W19" s="673"/>
    </row>
    <row r="20" spans="2:23" x14ac:dyDescent="0.25">
      <c r="B20" s="1009" t="s">
        <v>384</v>
      </c>
      <c r="C20" s="1009"/>
      <c r="D20" s="1009"/>
      <c r="E20" s="1009"/>
      <c r="F20" s="1009"/>
      <c r="G20" s="1009"/>
      <c r="H20" s="1009"/>
      <c r="I20" s="1009"/>
      <c r="J20" s="1009"/>
      <c r="K20" s="673"/>
      <c r="L20" s="673"/>
      <c r="M20" s="674" t="s">
        <v>245</v>
      </c>
      <c r="N20" s="673"/>
      <c r="O20" s="701">
        <f>O19/K7/1000</f>
        <v>0.20402315689981096</v>
      </c>
      <c r="P20" s="674"/>
      <c r="Q20" s="674" t="s">
        <v>245</v>
      </c>
      <c r="R20" s="673"/>
      <c r="S20" s="701">
        <f>S19/J7/1000</f>
        <v>0.21508118254340683</v>
      </c>
      <c r="T20" s="673"/>
      <c r="U20" s="673"/>
      <c r="V20" s="673"/>
      <c r="W20" s="673"/>
    </row>
    <row r="21" spans="2:23" x14ac:dyDescent="0.25">
      <c r="B21" s="1009" t="s">
        <v>385</v>
      </c>
      <c r="C21" s="1009"/>
      <c r="D21" s="1009"/>
      <c r="E21" s="1009"/>
      <c r="F21" s="1009"/>
      <c r="G21" s="1009"/>
      <c r="H21" s="1009"/>
      <c r="I21" s="1009"/>
      <c r="J21" s="1009"/>
      <c r="K21" s="673"/>
      <c r="L21" s="673"/>
      <c r="M21" s="674" t="s">
        <v>248</v>
      </c>
      <c r="N21" s="673"/>
      <c r="O21" s="702">
        <f>LINEST($E$65:AF65,$E$53:AF53)/AVERAGE($E$65:AF65)</f>
        <v>-4.1631621884236442E-2</v>
      </c>
      <c r="P21" s="674"/>
      <c r="Q21" s="674"/>
      <c r="R21" s="673"/>
      <c r="S21" s="673"/>
      <c r="T21" s="702"/>
      <c r="U21" s="673"/>
      <c r="V21" s="673"/>
      <c r="W21" s="673"/>
    </row>
    <row r="22" spans="2:23" x14ac:dyDescent="0.25">
      <c r="B22" s="1010" t="s">
        <v>141</v>
      </c>
      <c r="C22" s="1010"/>
      <c r="D22" s="1010"/>
      <c r="E22" s="1010"/>
      <c r="F22" s="1010"/>
      <c r="G22" s="1010"/>
      <c r="H22" s="1010"/>
      <c r="I22" s="1010"/>
      <c r="J22" s="1010"/>
      <c r="K22" s="673"/>
      <c r="L22" s="673"/>
      <c r="M22" s="567" t="s">
        <v>250</v>
      </c>
      <c r="N22" s="673"/>
      <c r="O22" s="690">
        <f>AN63</f>
        <v>635086</v>
      </c>
      <c r="P22" s="674"/>
      <c r="Q22" s="567" t="s">
        <v>250</v>
      </c>
      <c r="R22" s="567"/>
      <c r="S22" s="690">
        <f>AM63</f>
        <v>639346</v>
      </c>
      <c r="T22" s="673"/>
      <c r="U22" s="673"/>
      <c r="V22" s="673"/>
      <c r="W22" s="673"/>
    </row>
    <row r="23" spans="2:23" x14ac:dyDescent="0.25">
      <c r="B23" s="673"/>
      <c r="C23" s="673"/>
      <c r="D23" s="673"/>
      <c r="E23" s="673"/>
      <c r="F23" s="673"/>
      <c r="G23" s="673"/>
      <c r="H23" s="673"/>
      <c r="I23" s="673"/>
      <c r="J23" s="673"/>
      <c r="K23" s="673"/>
      <c r="L23" s="673"/>
      <c r="M23" s="674" t="s">
        <v>246</v>
      </c>
      <c r="N23" s="673"/>
      <c r="O23" s="701">
        <f>O22/K5/1000</f>
        <v>0.27781539807524058</v>
      </c>
      <c r="P23" s="674"/>
      <c r="Q23" s="674" t="s">
        <v>246</v>
      </c>
      <c r="R23" s="673"/>
      <c r="S23" s="701">
        <f>S22/J5/1000</f>
        <v>0.28252143172779492</v>
      </c>
      <c r="T23" s="673"/>
      <c r="U23" s="673"/>
      <c r="V23" s="673"/>
      <c r="W23" s="673"/>
    </row>
    <row r="24" spans="2:23" x14ac:dyDescent="0.25">
      <c r="B24" s="672" t="s">
        <v>19</v>
      </c>
      <c r="C24" s="673"/>
      <c r="D24" s="673"/>
      <c r="E24" s="673"/>
      <c r="F24" s="673"/>
      <c r="G24" s="673"/>
      <c r="H24" s="673"/>
      <c r="I24" s="673"/>
      <c r="J24" s="673"/>
      <c r="K24" s="673"/>
      <c r="L24" s="673"/>
      <c r="M24" s="674" t="s">
        <v>248</v>
      </c>
      <c r="N24" s="673"/>
      <c r="O24" s="702">
        <f>LINEST($E$63:AF63,$E$53:AF53)/AVERAGE($E$63:AF63)</f>
        <v>7.1251779068633803E-3</v>
      </c>
      <c r="P24" s="674"/>
      <c r="Q24" s="674"/>
      <c r="R24" s="673"/>
      <c r="S24" s="673"/>
      <c r="T24" s="702"/>
      <c r="U24" s="673"/>
      <c r="V24" s="673"/>
      <c r="W24" s="673"/>
    </row>
    <row r="25" spans="2:23" ht="26.25" x14ac:dyDescent="0.25">
      <c r="B25" s="675" t="s">
        <v>2</v>
      </c>
      <c r="C25" s="676" t="s">
        <v>3</v>
      </c>
      <c r="D25" s="676"/>
      <c r="E25" s="676">
        <v>2014</v>
      </c>
      <c r="F25" s="676">
        <v>2015</v>
      </c>
      <c r="G25" s="676">
        <v>2016</v>
      </c>
      <c r="H25" s="676">
        <v>2017</v>
      </c>
      <c r="I25" s="677">
        <v>2018</v>
      </c>
      <c r="J25" s="677">
        <v>2019</v>
      </c>
      <c r="K25" s="703" t="s">
        <v>386</v>
      </c>
      <c r="L25" s="673"/>
      <c r="M25" s="674" t="s">
        <v>252</v>
      </c>
      <c r="N25" s="673"/>
      <c r="O25" s="692">
        <f>AN64</f>
        <v>230457</v>
      </c>
      <c r="P25" s="674"/>
      <c r="Q25" s="674" t="s">
        <v>252</v>
      </c>
      <c r="R25" s="673"/>
      <c r="S25" s="692">
        <f>AM64</f>
        <v>232138</v>
      </c>
      <c r="T25" s="673"/>
      <c r="U25" s="673"/>
      <c r="V25" s="673"/>
      <c r="W25" s="673"/>
    </row>
    <row r="26" spans="2:23" x14ac:dyDescent="0.25">
      <c r="B26" s="681" t="s">
        <v>4</v>
      </c>
      <c r="C26" s="682" t="s">
        <v>5</v>
      </c>
      <c r="D26" s="682"/>
      <c r="E26" s="683">
        <v>22841.368749999994</v>
      </c>
      <c r="F26" s="683">
        <v>22982.535762</v>
      </c>
      <c r="G26" s="683">
        <v>23576.227722000003</v>
      </c>
      <c r="H26" s="683">
        <v>23376.239148000001</v>
      </c>
      <c r="I26" s="684">
        <v>23846</v>
      </c>
      <c r="J26" s="684">
        <v>23640</v>
      </c>
      <c r="K26" s="684">
        <v>23866</v>
      </c>
      <c r="L26" s="673"/>
      <c r="M26" s="673"/>
      <c r="N26" s="673"/>
      <c r="O26" s="673"/>
      <c r="P26" s="674"/>
      <c r="Q26" s="673"/>
      <c r="R26" s="673"/>
      <c r="S26" s="674"/>
      <c r="T26" s="673"/>
      <c r="U26" s="673"/>
      <c r="V26" s="673"/>
      <c r="W26" s="673"/>
    </row>
    <row r="27" spans="2:23" x14ac:dyDescent="0.25">
      <c r="B27" s="681" t="s">
        <v>6</v>
      </c>
      <c r="C27" s="686">
        <v>1000</v>
      </c>
      <c r="D27" s="686" t="s">
        <v>21</v>
      </c>
      <c r="E27" s="683">
        <v>42389671.766000003</v>
      </c>
      <c r="F27" s="683">
        <v>40843220.586999997</v>
      </c>
      <c r="G27" s="683">
        <v>42909878.909999996</v>
      </c>
      <c r="H27" s="683">
        <v>46713625.034999996</v>
      </c>
      <c r="I27" s="683">
        <v>46009199</v>
      </c>
      <c r="J27" s="688" t="s">
        <v>23</v>
      </c>
      <c r="K27" s="688" t="s">
        <v>23</v>
      </c>
      <c r="L27" s="673"/>
      <c r="M27" s="689" t="s">
        <v>162</v>
      </c>
      <c r="N27" s="673"/>
      <c r="O27" s="690">
        <f>AN73</f>
        <v>168588.03200000001</v>
      </c>
      <c r="P27" s="674"/>
      <c r="Q27" s="689" t="s">
        <v>162</v>
      </c>
      <c r="R27" s="689"/>
      <c r="S27" s="690">
        <f>AM73</f>
        <v>176529.02400000003</v>
      </c>
      <c r="T27" s="673"/>
      <c r="U27" s="673"/>
      <c r="V27" s="673"/>
      <c r="W27" s="673"/>
    </row>
    <row r="28" spans="2:23" x14ac:dyDescent="0.25">
      <c r="B28" s="681" t="s">
        <v>8</v>
      </c>
      <c r="C28" s="682" t="s">
        <v>135</v>
      </c>
      <c r="D28" s="686"/>
      <c r="E28" s="683">
        <v>20870.679749999996</v>
      </c>
      <c r="F28" s="683">
        <v>20699.83051</v>
      </c>
      <c r="G28" s="683">
        <v>20661.680480000006</v>
      </c>
      <c r="H28" s="683">
        <v>20574.230879999999</v>
      </c>
      <c r="I28" s="684">
        <v>20685</v>
      </c>
      <c r="J28" s="704">
        <v>20166</v>
      </c>
      <c r="K28" s="684">
        <v>19792</v>
      </c>
      <c r="L28" s="673"/>
      <c r="M28" s="674" t="s">
        <v>245</v>
      </c>
      <c r="N28" s="673"/>
      <c r="O28" s="701">
        <f>O27/K28/1000</f>
        <v>8.5179886822958767E-3</v>
      </c>
      <c r="P28" s="674"/>
      <c r="Q28" s="674" t="s">
        <v>245</v>
      </c>
      <c r="R28" s="674"/>
      <c r="S28" s="701">
        <f>S27/J28/1000</f>
        <v>8.753794703957157E-3</v>
      </c>
      <c r="T28" s="673"/>
      <c r="U28" s="673"/>
      <c r="V28" s="673"/>
      <c r="W28" s="673"/>
    </row>
    <row r="29" spans="2:23" x14ac:dyDescent="0.25">
      <c r="B29" s="681" t="s">
        <v>142</v>
      </c>
      <c r="C29" s="686">
        <v>1000</v>
      </c>
      <c r="D29" s="686"/>
      <c r="E29" s="688" t="s">
        <v>23</v>
      </c>
      <c r="F29" s="688" t="s">
        <v>23</v>
      </c>
      <c r="G29" s="688" t="s">
        <v>23</v>
      </c>
      <c r="H29" s="688" t="s">
        <v>23</v>
      </c>
      <c r="I29" s="688" t="s">
        <v>23</v>
      </c>
      <c r="J29" s="688" t="s">
        <v>23</v>
      </c>
      <c r="K29" s="688" t="s">
        <v>23</v>
      </c>
      <c r="L29" s="673"/>
      <c r="M29" s="689" t="s">
        <v>205</v>
      </c>
      <c r="N29" s="673"/>
      <c r="O29" s="690">
        <f>AN71</f>
        <v>5370725.1200000001</v>
      </c>
      <c r="P29" s="674"/>
      <c r="Q29" s="689" t="s">
        <v>205</v>
      </c>
      <c r="R29" s="689"/>
      <c r="S29" s="690">
        <f>AM71</f>
        <v>4405089.1520000007</v>
      </c>
      <c r="T29" s="673"/>
      <c r="U29" s="673"/>
      <c r="V29" s="673"/>
      <c r="W29" s="673"/>
    </row>
    <row r="30" spans="2:23" x14ac:dyDescent="0.25">
      <c r="B30" s="681" t="s">
        <v>24</v>
      </c>
      <c r="C30" s="682" t="s">
        <v>13</v>
      </c>
      <c r="D30" s="682" t="s">
        <v>21</v>
      </c>
      <c r="E30" s="696">
        <v>1.901832213256857</v>
      </c>
      <c r="F30" s="696">
        <v>1.7837133498182389</v>
      </c>
      <c r="G30" s="696">
        <v>1.6438862623773229</v>
      </c>
      <c r="H30" s="696">
        <v>1.7039566317409138</v>
      </c>
      <c r="I30" s="705">
        <v>1.93</v>
      </c>
      <c r="J30" s="688" t="s">
        <v>23</v>
      </c>
      <c r="K30" s="688" t="s">
        <v>23</v>
      </c>
      <c r="L30" s="673"/>
      <c r="M30" s="674" t="s">
        <v>246</v>
      </c>
      <c r="N30" s="673"/>
      <c r="O30" s="701">
        <f>O29/K26/1000</f>
        <v>0.22503666806335371</v>
      </c>
      <c r="P30" s="674"/>
      <c r="Q30" s="674" t="s">
        <v>246</v>
      </c>
      <c r="R30" s="674"/>
      <c r="S30" s="701">
        <f>S29/J26/1000</f>
        <v>0.18634048866328259</v>
      </c>
      <c r="T30" s="673"/>
      <c r="U30" s="673"/>
      <c r="V30" s="673"/>
      <c r="W30" s="673"/>
    </row>
    <row r="31" spans="2:23" x14ac:dyDescent="0.25">
      <c r="B31" s="681" t="s">
        <v>26</v>
      </c>
      <c r="C31" s="682" t="s">
        <v>13</v>
      </c>
      <c r="D31" s="682"/>
      <c r="E31" s="696" t="s">
        <v>23</v>
      </c>
      <c r="F31" s="696" t="s">
        <v>23</v>
      </c>
      <c r="G31" s="696" t="s">
        <v>23</v>
      </c>
      <c r="H31" s="696">
        <v>103.57</v>
      </c>
      <c r="I31" s="696">
        <v>102.99</v>
      </c>
      <c r="J31" s="696">
        <v>107.37</v>
      </c>
      <c r="K31" s="696">
        <v>113.24</v>
      </c>
      <c r="L31" s="673"/>
      <c r="M31" s="674" t="s">
        <v>248</v>
      </c>
      <c r="N31" s="673"/>
      <c r="O31" s="702">
        <f>LINEST($E$71:AF71,$E$53:AF53)/AVERAGE($E$71:AF71)</f>
        <v>8.4626714664800776E-2</v>
      </c>
      <c r="P31" s="674"/>
      <c r="Q31" s="674"/>
      <c r="R31" s="674"/>
      <c r="S31" s="673"/>
      <c r="T31" s="673"/>
      <c r="U31" s="673"/>
      <c r="V31" s="673"/>
      <c r="W31" s="673"/>
    </row>
    <row r="32" spans="2:23" x14ac:dyDescent="0.25">
      <c r="B32" s="673"/>
      <c r="C32" s="699"/>
      <c r="D32" s="699"/>
      <c r="E32" s="673"/>
      <c r="F32" s="673"/>
      <c r="G32" s="673"/>
      <c r="H32" s="673"/>
      <c r="I32" s="673"/>
      <c r="J32" s="673"/>
      <c r="K32" s="673"/>
      <c r="L32" s="673"/>
      <c r="M32" s="674" t="s">
        <v>252</v>
      </c>
      <c r="N32" s="673"/>
      <c r="O32" s="692">
        <f>AN72</f>
        <v>2064404.608</v>
      </c>
      <c r="P32" s="674"/>
      <c r="Q32" s="674" t="s">
        <v>252</v>
      </c>
      <c r="R32" s="674"/>
      <c r="S32" s="692">
        <f>AM72</f>
        <v>1719069.952</v>
      </c>
      <c r="T32" s="673"/>
      <c r="U32" s="673"/>
      <c r="V32" s="673"/>
      <c r="W32" s="673"/>
    </row>
    <row r="33" spans="2:23" x14ac:dyDescent="0.25">
      <c r="B33" s="700" t="s">
        <v>18</v>
      </c>
      <c r="C33" s="699"/>
      <c r="D33" s="699"/>
      <c r="E33" s="673"/>
      <c r="F33" s="673"/>
      <c r="G33" s="673"/>
      <c r="H33" s="673"/>
      <c r="I33" s="674"/>
      <c r="J33" s="674"/>
      <c r="K33" s="673"/>
      <c r="L33" s="673"/>
      <c r="M33" s="673"/>
      <c r="N33" s="673"/>
      <c r="O33" s="673"/>
      <c r="P33" s="673"/>
      <c r="Q33" s="673"/>
      <c r="R33" s="673"/>
      <c r="S33" s="673"/>
      <c r="T33" s="673"/>
      <c r="U33" s="673"/>
      <c r="V33" s="673"/>
      <c r="W33" s="673"/>
    </row>
    <row r="34" spans="2:23" x14ac:dyDescent="0.25">
      <c r="B34" s="1009" t="s">
        <v>387</v>
      </c>
      <c r="C34" s="1009"/>
      <c r="D34" s="1009"/>
      <c r="E34" s="1009"/>
      <c r="F34" s="1009"/>
      <c r="G34" s="1009"/>
      <c r="H34" s="1009"/>
      <c r="I34" s="1009"/>
      <c r="J34" s="1009"/>
      <c r="K34" s="673"/>
      <c r="L34" s="673"/>
      <c r="M34" s="673"/>
      <c r="N34" s="673"/>
      <c r="O34" s="673"/>
      <c r="P34" s="673"/>
      <c r="Q34" s="673"/>
      <c r="R34" s="673"/>
      <c r="S34" s="673"/>
      <c r="T34" s="673"/>
      <c r="U34" s="673"/>
      <c r="V34" s="673"/>
      <c r="W34" s="673"/>
    </row>
    <row r="35" spans="2:23" x14ac:dyDescent="0.25">
      <c r="B35" s="1001" t="s">
        <v>143</v>
      </c>
      <c r="C35" s="1001"/>
      <c r="D35" s="1001"/>
      <c r="E35" s="1001"/>
      <c r="F35" s="1001"/>
      <c r="G35" s="1001"/>
      <c r="H35" s="1001"/>
      <c r="I35" s="1001"/>
      <c r="J35" s="1001"/>
    </row>
    <row r="36" spans="2:23" ht="31.5" customHeight="1" x14ac:dyDescent="0.25">
      <c r="B36" s="1001" t="s">
        <v>144</v>
      </c>
      <c r="C36" s="1001"/>
      <c r="D36" s="1001"/>
      <c r="E36" s="1001"/>
      <c r="F36" s="1001"/>
      <c r="G36" s="1001"/>
      <c r="H36" s="1001"/>
      <c r="I36" s="1001"/>
      <c r="J36" s="1001"/>
    </row>
    <row r="37" spans="2:23" x14ac:dyDescent="0.25">
      <c r="B37" s="1001" t="s">
        <v>352</v>
      </c>
      <c r="C37" s="1001"/>
      <c r="D37" s="1001"/>
      <c r="E37" s="1001"/>
      <c r="F37" s="1001"/>
      <c r="G37" s="1001"/>
      <c r="H37" s="1001"/>
      <c r="I37" s="1001"/>
      <c r="J37" s="69"/>
    </row>
    <row r="38" spans="2:23" x14ac:dyDescent="0.25">
      <c r="B38" s="1001" t="s">
        <v>145</v>
      </c>
      <c r="C38" s="1001"/>
      <c r="D38" s="1001"/>
      <c r="E38" s="1001"/>
      <c r="F38" s="1001"/>
      <c r="G38" s="1001"/>
      <c r="H38" s="1001"/>
      <c r="I38" s="1001"/>
      <c r="J38" s="1001"/>
    </row>
    <row r="39" spans="2:23" x14ac:dyDescent="0.25">
      <c r="B39" s="69"/>
      <c r="C39" s="69"/>
      <c r="D39" s="69"/>
      <c r="E39" s="69"/>
      <c r="F39" s="69"/>
      <c r="G39" s="69"/>
      <c r="H39" s="69"/>
      <c r="I39" s="69"/>
      <c r="J39" s="69"/>
    </row>
    <row r="40" spans="2:23" ht="18.75" x14ac:dyDescent="0.3">
      <c r="B40" s="1005" t="s">
        <v>203</v>
      </c>
      <c r="C40" s="1005"/>
      <c r="D40" s="1005"/>
      <c r="E40" s="1005"/>
      <c r="F40" s="1005"/>
      <c r="G40" s="1005"/>
      <c r="H40" s="1005"/>
      <c r="I40" s="1005"/>
      <c r="J40" s="1005"/>
    </row>
    <row r="41" spans="2:23" x14ac:dyDescent="0.25">
      <c r="B41" s="568"/>
      <c r="C41" s="568"/>
      <c r="D41" s="568"/>
      <c r="E41" s="568"/>
      <c r="F41" s="568"/>
      <c r="G41" s="568"/>
      <c r="H41" s="568"/>
      <c r="I41" s="568"/>
      <c r="J41" s="568"/>
      <c r="K41" s="568"/>
      <c r="L41" s="568"/>
      <c r="M41" s="568"/>
      <c r="N41" s="568"/>
      <c r="O41" s="568"/>
      <c r="P41" s="568"/>
      <c r="Q41" s="568"/>
      <c r="R41" s="568"/>
      <c r="S41" s="568"/>
      <c r="T41" s="568"/>
      <c r="U41" s="568"/>
    </row>
    <row r="42" spans="2:23" x14ac:dyDescent="0.25">
      <c r="B42" s="582" t="s">
        <v>121</v>
      </c>
      <c r="C42" s="568"/>
      <c r="D42" s="568"/>
      <c r="E42" s="568"/>
      <c r="F42" s="568"/>
      <c r="G42" s="568"/>
      <c r="H42" s="568"/>
      <c r="I42" s="568"/>
      <c r="J42" s="568"/>
      <c r="K42" s="568"/>
      <c r="L42" s="568"/>
      <c r="M42" s="568"/>
      <c r="N42" s="568"/>
      <c r="O42" s="568"/>
      <c r="P42" s="568"/>
      <c r="Q42" s="568"/>
      <c r="R42" s="568"/>
      <c r="S42" s="568"/>
      <c r="T42" s="568"/>
      <c r="U42" s="568"/>
    </row>
    <row r="43" spans="2:23" ht="15.75" thickBot="1" x14ac:dyDescent="0.3">
      <c r="B43" s="627" t="s">
        <v>149</v>
      </c>
      <c r="C43" s="568"/>
      <c r="D43" s="568"/>
      <c r="E43" s="568"/>
      <c r="F43" s="568"/>
      <c r="G43" s="568"/>
      <c r="H43" s="568"/>
      <c r="I43" s="568"/>
      <c r="J43" s="568"/>
      <c r="K43" s="568"/>
      <c r="L43" s="568"/>
      <c r="M43" s="568"/>
      <c r="N43" s="568"/>
      <c r="O43" s="568"/>
      <c r="P43" s="568"/>
      <c r="Q43" s="568"/>
      <c r="R43" s="568"/>
      <c r="S43" s="568"/>
      <c r="T43" s="568"/>
      <c r="U43" s="568"/>
    </row>
    <row r="44" spans="2:23" ht="15.75" thickBot="1" x14ac:dyDescent="0.3">
      <c r="B44" s="948"/>
      <c r="C44" s="948"/>
      <c r="D44" s="949"/>
      <c r="E44" s="656">
        <v>2014</v>
      </c>
      <c r="F44" s="519">
        <v>2015</v>
      </c>
      <c r="G44" s="519">
        <v>2016</v>
      </c>
      <c r="H44" s="706">
        <v>2017</v>
      </c>
      <c r="I44" s="707">
        <v>2018</v>
      </c>
      <c r="J44" s="655">
        <v>2019</v>
      </c>
      <c r="K44" s="655">
        <v>2020</v>
      </c>
      <c r="L44" s="568"/>
      <c r="M44" s="568"/>
      <c r="N44" s="568"/>
      <c r="O44" s="568"/>
      <c r="P44" s="568"/>
      <c r="Q44" s="568"/>
      <c r="R44" s="568"/>
      <c r="S44" s="568"/>
      <c r="T44" s="568"/>
      <c r="U44" s="568"/>
    </row>
    <row r="45" spans="2:23" x14ac:dyDescent="0.25">
      <c r="B45" s="950" t="s">
        <v>122</v>
      </c>
      <c r="C45" s="951"/>
      <c r="D45" s="952"/>
      <c r="E45" s="127">
        <f>SUM(E67:H67)</f>
        <v>16575.615999999998</v>
      </c>
      <c r="F45" s="128">
        <f>SUM(I67:L67)</f>
        <v>19242.367999999999</v>
      </c>
      <c r="G45" s="128">
        <f>SUM(M67:P67)</f>
        <v>26487.68</v>
      </c>
      <c r="H45" s="134">
        <f>SUM(Q67:T67)</f>
        <v>31748.223999999998</v>
      </c>
      <c r="I45" s="312">
        <f>SUM(U67:X67)</f>
        <v>31463.296000000002</v>
      </c>
      <c r="J45" s="129">
        <f>SUM(Y67:AB67)</f>
        <v>26984.064000000002</v>
      </c>
      <c r="K45" s="129">
        <f>SUM(Z67:AC67)</f>
        <v>26435.456000000002</v>
      </c>
      <c r="L45" s="568"/>
      <c r="M45" s="568"/>
      <c r="N45" s="568"/>
      <c r="O45" s="568"/>
      <c r="P45" s="568"/>
      <c r="Q45" s="568"/>
      <c r="R45" s="568"/>
      <c r="S45" s="568"/>
      <c r="T45" s="568"/>
      <c r="U45" s="568"/>
    </row>
    <row r="46" spans="2:23" x14ac:dyDescent="0.25">
      <c r="B46" s="1002" t="s">
        <v>125</v>
      </c>
      <c r="C46" s="1003"/>
      <c r="D46" s="1004"/>
      <c r="E46" s="121">
        <f>SUM(E68:H68)</f>
        <v>6687.6160000000009</v>
      </c>
      <c r="F46" s="122">
        <f>SUM(I68:L68)</f>
        <v>8869.5040000000008</v>
      </c>
      <c r="G46" s="122">
        <f>SUM(M68:P68)</f>
        <v>10792.576000000001</v>
      </c>
      <c r="H46" s="136">
        <f>SUM(Q68:T68)</f>
        <v>7768.576</v>
      </c>
      <c r="I46" s="708">
        <f>SUM(U68:X68)</f>
        <v>7932.5440000000008</v>
      </c>
      <c r="J46" s="123">
        <f>SUM(Y68:AB68)</f>
        <v>7199.3600000000006</v>
      </c>
      <c r="K46" s="123">
        <f>SUM(Z68:AC68)</f>
        <v>7178.1119999999992</v>
      </c>
      <c r="L46" s="568"/>
      <c r="M46" s="568"/>
      <c r="N46" s="568"/>
      <c r="O46" s="568"/>
      <c r="P46" s="568"/>
      <c r="Q46" s="568"/>
      <c r="R46" s="568"/>
      <c r="S46" s="568"/>
      <c r="T46" s="568"/>
      <c r="U46" s="568"/>
    </row>
    <row r="47" spans="2:23" x14ac:dyDescent="0.25">
      <c r="B47" s="904" t="s">
        <v>123</v>
      </c>
      <c r="C47" s="905"/>
      <c r="D47" s="906"/>
      <c r="E47" s="618">
        <f>SUM(E69:H69)</f>
        <v>158.33600000000001</v>
      </c>
      <c r="F47" s="194">
        <f>SUM(I69:L69)</f>
        <v>22.400000000000002</v>
      </c>
      <c r="G47" s="194">
        <f>SUM(M69:P69)</f>
        <v>101.248</v>
      </c>
      <c r="H47" s="195">
        <f>SUM(Q69:T69)</f>
        <v>312.44799999999998</v>
      </c>
      <c r="I47" s="313">
        <f>SUM(U69:X69)</f>
        <v>404.22400000000005</v>
      </c>
      <c r="J47" s="709">
        <f>SUM(Y69:AB69)</f>
        <v>240.12800000000001</v>
      </c>
      <c r="K47" s="709">
        <f>SUM(AC69:AF69)</f>
        <v>161.40800000000002</v>
      </c>
      <c r="L47" s="568"/>
      <c r="M47" s="568"/>
      <c r="N47" s="568"/>
      <c r="O47" s="568"/>
      <c r="P47" s="568"/>
      <c r="Q47" s="568"/>
      <c r="R47" s="568"/>
      <c r="S47" s="568"/>
      <c r="T47" s="568"/>
      <c r="U47" s="568"/>
    </row>
    <row r="48" spans="2:23" ht="15.75" thickBot="1" x14ac:dyDescent="0.3">
      <c r="B48" s="954" t="s">
        <v>124</v>
      </c>
      <c r="C48" s="955"/>
      <c r="D48" s="956"/>
      <c r="E48" s="619"/>
      <c r="F48" s="208"/>
      <c r="G48" s="208"/>
      <c r="H48" s="620">
        <f>H88</f>
        <v>24</v>
      </c>
      <c r="I48" s="621">
        <f>I88</f>
        <v>461</v>
      </c>
      <c r="J48" s="710">
        <f>J88</f>
        <v>203</v>
      </c>
      <c r="K48" s="710">
        <f>K88</f>
        <v>0</v>
      </c>
      <c r="L48" s="568"/>
      <c r="M48" s="568"/>
      <c r="N48" s="568"/>
      <c r="O48" s="568"/>
      <c r="P48" s="568"/>
      <c r="Q48" s="568"/>
      <c r="R48" s="568"/>
      <c r="S48" s="568"/>
      <c r="T48" s="568"/>
      <c r="U48" s="568"/>
    </row>
    <row r="49" spans="1:49" x14ac:dyDescent="0.25">
      <c r="B49" s="627" t="s">
        <v>147</v>
      </c>
      <c r="C49" s="568"/>
      <c r="D49" s="568"/>
      <c r="E49" s="634"/>
      <c r="F49" s="634"/>
      <c r="G49" s="634"/>
      <c r="H49" s="634"/>
      <c r="I49" s="634"/>
      <c r="J49" s="711"/>
      <c r="K49" s="568"/>
      <c r="L49" s="568"/>
      <c r="M49" s="568"/>
      <c r="N49" s="568"/>
      <c r="O49" s="568"/>
      <c r="P49" s="568"/>
      <c r="Q49" s="568"/>
      <c r="R49" s="568"/>
      <c r="S49" s="568"/>
      <c r="T49" s="568"/>
      <c r="U49" s="568"/>
    </row>
    <row r="50" spans="1:49" x14ac:dyDescent="0.25">
      <c r="B50" s="568"/>
      <c r="C50" s="568"/>
      <c r="D50" s="568"/>
      <c r="E50" s="634"/>
      <c r="F50" s="634"/>
      <c r="G50" s="634"/>
      <c r="H50" s="634"/>
      <c r="I50" s="634"/>
      <c r="J50" s="711"/>
      <c r="K50" s="568"/>
      <c r="L50" s="568"/>
      <c r="M50" s="568"/>
      <c r="N50" s="568"/>
      <c r="O50" s="568"/>
      <c r="P50" s="568"/>
      <c r="Q50" s="568"/>
      <c r="R50" s="568"/>
      <c r="S50" s="568"/>
      <c r="T50" s="568"/>
      <c r="U50" s="568"/>
    </row>
    <row r="51" spans="1:49" x14ac:dyDescent="0.25">
      <c r="B51" s="568"/>
      <c r="C51" s="568"/>
      <c r="D51" s="568"/>
      <c r="E51" s="634"/>
      <c r="F51" s="634"/>
      <c r="G51" s="634"/>
      <c r="H51" s="634"/>
      <c r="I51" s="634"/>
      <c r="J51" s="568"/>
      <c r="K51" s="568"/>
      <c r="L51" s="568"/>
      <c r="M51" s="568"/>
      <c r="N51" s="568"/>
      <c r="O51" s="568"/>
      <c r="P51" s="568"/>
      <c r="Q51" s="568"/>
      <c r="R51" s="568"/>
      <c r="S51" s="568"/>
      <c r="T51" s="568"/>
      <c r="U51" s="568"/>
    </row>
    <row r="52" spans="1:49" x14ac:dyDescent="0.25">
      <c r="B52" s="582" t="s">
        <v>73</v>
      </c>
      <c r="C52" s="568"/>
      <c r="D52" s="568"/>
      <c r="E52" s="634"/>
      <c r="F52" s="634"/>
      <c r="G52" s="634"/>
      <c r="H52" s="634"/>
      <c r="I52" s="634"/>
      <c r="J52" s="568"/>
      <c r="K52" s="568"/>
      <c r="L52" s="568"/>
      <c r="M52" s="568"/>
      <c r="N52" s="568"/>
      <c r="O52" s="568"/>
      <c r="P52" s="568"/>
      <c r="Q52" s="568"/>
      <c r="R52" s="568"/>
      <c r="S52" s="568"/>
      <c r="T52" s="568"/>
      <c r="U52" s="568"/>
    </row>
    <row r="53" spans="1:49" s="218" customFormat="1" ht="15.75" thickBot="1" x14ac:dyDescent="0.3">
      <c r="A53"/>
      <c r="B53" s="712"/>
      <c r="C53" s="712"/>
      <c r="D53" s="712"/>
      <c r="E53" s="712">
        <v>2014</v>
      </c>
      <c r="F53" s="712">
        <f>E53+0.25</f>
        <v>2014.25</v>
      </c>
      <c r="G53" s="712">
        <f t="shared" ref="G53:X53" si="0">F53+0.25</f>
        <v>2014.5</v>
      </c>
      <c r="H53" s="712">
        <f t="shared" si="0"/>
        <v>2014.75</v>
      </c>
      <c r="I53" s="712">
        <f t="shared" si="0"/>
        <v>2015</v>
      </c>
      <c r="J53" s="712">
        <f t="shared" si="0"/>
        <v>2015.25</v>
      </c>
      <c r="K53" s="712">
        <f t="shared" si="0"/>
        <v>2015.5</v>
      </c>
      <c r="L53" s="712">
        <f t="shared" si="0"/>
        <v>2015.75</v>
      </c>
      <c r="M53" s="712">
        <f t="shared" si="0"/>
        <v>2016</v>
      </c>
      <c r="N53" s="712">
        <f t="shared" si="0"/>
        <v>2016.25</v>
      </c>
      <c r="O53" s="712">
        <f t="shared" si="0"/>
        <v>2016.5</v>
      </c>
      <c r="P53" s="712">
        <f t="shared" si="0"/>
        <v>2016.75</v>
      </c>
      <c r="Q53" s="712">
        <f t="shared" si="0"/>
        <v>2017</v>
      </c>
      <c r="R53" s="712">
        <f t="shared" si="0"/>
        <v>2017.25</v>
      </c>
      <c r="S53" s="712">
        <f t="shared" si="0"/>
        <v>2017.5</v>
      </c>
      <c r="T53" s="712">
        <f t="shared" si="0"/>
        <v>2017.75</v>
      </c>
      <c r="U53" s="712">
        <f t="shared" si="0"/>
        <v>2018</v>
      </c>
      <c r="V53" s="218">
        <f t="shared" si="0"/>
        <v>2018.25</v>
      </c>
      <c r="W53" s="218">
        <f t="shared" si="0"/>
        <v>2018.5</v>
      </c>
      <c r="X53" s="218">
        <f t="shared" si="0"/>
        <v>2018.75</v>
      </c>
      <c r="Y53" s="218">
        <f t="shared" ref="Y53" si="1">X53+0.25</f>
        <v>2019</v>
      </c>
      <c r="Z53" s="218">
        <f t="shared" ref="Z53" si="2">Y53+0.25</f>
        <v>2019.25</v>
      </c>
      <c r="AA53" s="218">
        <f t="shared" ref="AA53" si="3">Z53+0.25</f>
        <v>2019.5</v>
      </c>
      <c r="AB53" s="218">
        <f>AA53+0.25</f>
        <v>2019.75</v>
      </c>
      <c r="AC53" s="218">
        <f t="shared" ref="AC53:AF53" si="4">AB53+0.25</f>
        <v>2020</v>
      </c>
      <c r="AD53" s="218">
        <f t="shared" si="4"/>
        <v>2020.25</v>
      </c>
      <c r="AE53" s="218">
        <f t="shared" si="4"/>
        <v>2020.5</v>
      </c>
      <c r="AF53" s="218">
        <f t="shared" si="4"/>
        <v>2020.75</v>
      </c>
    </row>
    <row r="54" spans="1:49" ht="15.75" thickBot="1" x14ac:dyDescent="0.3">
      <c r="B54" s="713" t="s">
        <v>71</v>
      </c>
      <c r="C54" s="494" t="s">
        <v>68</v>
      </c>
      <c r="D54" s="498" t="s">
        <v>69</v>
      </c>
      <c r="E54" s="497" t="s">
        <v>100</v>
      </c>
      <c r="F54" s="494" t="s">
        <v>101</v>
      </c>
      <c r="G54" s="494" t="s">
        <v>104</v>
      </c>
      <c r="H54" s="498" t="s">
        <v>105</v>
      </c>
      <c r="I54" s="497" t="s">
        <v>102</v>
      </c>
      <c r="J54" s="494" t="s">
        <v>103</v>
      </c>
      <c r="K54" s="494" t="s">
        <v>106</v>
      </c>
      <c r="L54" s="498" t="s">
        <v>107</v>
      </c>
      <c r="M54" s="497" t="s">
        <v>108</v>
      </c>
      <c r="N54" s="494" t="s">
        <v>109</v>
      </c>
      <c r="O54" s="494" t="s">
        <v>110</v>
      </c>
      <c r="P54" s="498" t="s">
        <v>111</v>
      </c>
      <c r="Q54" s="497" t="s">
        <v>112</v>
      </c>
      <c r="R54" s="494" t="s">
        <v>113</v>
      </c>
      <c r="S54" s="495" t="s">
        <v>114</v>
      </c>
      <c r="T54" s="496" t="s">
        <v>115</v>
      </c>
      <c r="U54" s="497" t="s">
        <v>116</v>
      </c>
      <c r="V54" s="52" t="s">
        <v>117</v>
      </c>
      <c r="W54" s="52" t="s">
        <v>118</v>
      </c>
      <c r="X54" s="53" t="s">
        <v>119</v>
      </c>
      <c r="Y54" s="51" t="s">
        <v>242</v>
      </c>
      <c r="Z54" s="52" t="s">
        <v>243</v>
      </c>
      <c r="AA54" s="52" t="s">
        <v>333</v>
      </c>
      <c r="AB54" s="53" t="s">
        <v>334</v>
      </c>
      <c r="AC54" s="51" t="s">
        <v>355</v>
      </c>
      <c r="AD54" s="52" t="s">
        <v>356</v>
      </c>
      <c r="AE54" s="52" t="s">
        <v>357</v>
      </c>
      <c r="AF54" s="53" t="s">
        <v>358</v>
      </c>
      <c r="AH54" s="51">
        <v>2014</v>
      </c>
      <c r="AI54" s="52">
        <v>2015</v>
      </c>
      <c r="AJ54" s="52">
        <v>2016</v>
      </c>
      <c r="AK54" s="52">
        <v>2017</v>
      </c>
      <c r="AL54" s="52">
        <v>2018</v>
      </c>
      <c r="AM54" s="53">
        <v>2019</v>
      </c>
      <c r="AN54" s="53">
        <v>2020</v>
      </c>
    </row>
    <row r="55" spans="1:49" x14ac:dyDescent="0.25">
      <c r="B55" s="636" t="s">
        <v>89</v>
      </c>
      <c r="C55" s="911" t="s">
        <v>286</v>
      </c>
      <c r="D55" s="912"/>
      <c r="E55" s="127">
        <v>21</v>
      </c>
      <c r="F55" s="128">
        <v>67</v>
      </c>
      <c r="G55" s="128">
        <v>19</v>
      </c>
      <c r="H55" s="129">
        <v>42</v>
      </c>
      <c r="I55" s="127">
        <v>7</v>
      </c>
      <c r="J55" s="128">
        <v>13</v>
      </c>
      <c r="K55" s="128">
        <v>53</v>
      </c>
      <c r="L55" s="129">
        <v>106</v>
      </c>
      <c r="M55" s="127">
        <v>17</v>
      </c>
      <c r="N55" s="128">
        <v>12</v>
      </c>
      <c r="O55" s="128">
        <v>14</v>
      </c>
      <c r="P55" s="129">
        <v>7</v>
      </c>
      <c r="Q55" s="127">
        <v>20</v>
      </c>
      <c r="R55" s="128">
        <v>8</v>
      </c>
      <c r="S55" s="134">
        <v>52</v>
      </c>
      <c r="T55" s="135">
        <v>48</v>
      </c>
      <c r="U55" s="127">
        <v>76</v>
      </c>
      <c r="V55" s="82">
        <v>8</v>
      </c>
      <c r="W55" s="82">
        <v>10</v>
      </c>
      <c r="X55" s="83">
        <v>14</v>
      </c>
      <c r="Y55" s="127">
        <v>21</v>
      </c>
      <c r="Z55" s="128">
        <v>37</v>
      </c>
      <c r="AA55" s="128">
        <v>5</v>
      </c>
      <c r="AB55" s="129">
        <v>17</v>
      </c>
      <c r="AC55" s="87">
        <v>19</v>
      </c>
      <c r="AD55" s="87">
        <v>5</v>
      </c>
      <c r="AE55" s="87">
        <v>7</v>
      </c>
      <c r="AF55" s="87">
        <v>11</v>
      </c>
      <c r="AH55" s="81">
        <f t="shared" ref="AH55:AH74" si="5">SUM(E55:H55)</f>
        <v>149</v>
      </c>
      <c r="AI55" s="82">
        <f t="shared" ref="AI55:AI74" si="6">SUM(I55:L55)</f>
        <v>179</v>
      </c>
      <c r="AJ55" s="82">
        <f t="shared" ref="AJ55:AJ74" si="7">SUM(M55:P55)</f>
        <v>50</v>
      </c>
      <c r="AK55" s="82">
        <f t="shared" ref="AK55:AK74" si="8">SUM(Q55:T55)</f>
        <v>128</v>
      </c>
      <c r="AL55" s="82">
        <f t="shared" ref="AL55:AL74" si="9">SUM(U55:X55)</f>
        <v>108</v>
      </c>
      <c r="AM55" s="83">
        <f t="shared" ref="AM55:AM74" si="10">SUM(Y55:AB55)</f>
        <v>80</v>
      </c>
      <c r="AN55" s="88">
        <f t="shared" ref="AN55:AN74" si="11">SUM(AC55:AF55)</f>
        <v>42</v>
      </c>
      <c r="AO55" s="218"/>
      <c r="AP55" s="218"/>
      <c r="AQ55" s="218"/>
      <c r="AR55" s="218"/>
      <c r="AS55" s="218"/>
      <c r="AT55" s="218"/>
      <c r="AU55" s="218"/>
      <c r="AV55" s="218"/>
      <c r="AW55" s="218"/>
    </row>
    <row r="56" spans="1:49" x14ac:dyDescent="0.25">
      <c r="B56" s="637" t="s">
        <v>90</v>
      </c>
      <c r="C56" s="915"/>
      <c r="D56" s="916"/>
      <c r="E56" s="121">
        <v>20</v>
      </c>
      <c r="F56" s="122">
        <v>67</v>
      </c>
      <c r="G56" s="122">
        <v>18</v>
      </c>
      <c r="H56" s="123">
        <v>13</v>
      </c>
      <c r="I56" s="121">
        <v>7</v>
      </c>
      <c r="J56" s="122">
        <v>13</v>
      </c>
      <c r="K56" s="122">
        <v>52</v>
      </c>
      <c r="L56" s="123">
        <v>42</v>
      </c>
      <c r="M56" s="121">
        <v>16</v>
      </c>
      <c r="N56" s="122">
        <v>12</v>
      </c>
      <c r="O56" s="122">
        <v>14</v>
      </c>
      <c r="P56" s="123">
        <v>7</v>
      </c>
      <c r="Q56" s="121">
        <v>20</v>
      </c>
      <c r="R56" s="122">
        <v>8</v>
      </c>
      <c r="S56" s="136">
        <v>52</v>
      </c>
      <c r="T56" s="137">
        <v>48</v>
      </c>
      <c r="U56" s="121">
        <v>14</v>
      </c>
      <c r="V56" s="87">
        <v>8</v>
      </c>
      <c r="W56" s="87">
        <v>8</v>
      </c>
      <c r="X56" s="88">
        <v>12</v>
      </c>
      <c r="Y56" s="121">
        <v>8</v>
      </c>
      <c r="Z56" s="122">
        <v>37</v>
      </c>
      <c r="AA56" s="122">
        <v>5</v>
      </c>
      <c r="AB56" s="123">
        <v>4</v>
      </c>
      <c r="AC56" s="87">
        <v>19</v>
      </c>
      <c r="AD56" s="87">
        <v>5</v>
      </c>
      <c r="AE56" s="87">
        <v>5</v>
      </c>
      <c r="AF56" s="87">
        <v>11</v>
      </c>
      <c r="AH56" s="86">
        <f t="shared" si="5"/>
        <v>118</v>
      </c>
      <c r="AI56" s="87">
        <f t="shared" si="6"/>
        <v>114</v>
      </c>
      <c r="AJ56" s="87">
        <f t="shared" si="7"/>
        <v>49</v>
      </c>
      <c r="AK56" s="87">
        <f t="shared" si="8"/>
        <v>128</v>
      </c>
      <c r="AL56" s="87">
        <f t="shared" si="9"/>
        <v>42</v>
      </c>
      <c r="AM56" s="88">
        <f t="shared" si="10"/>
        <v>54</v>
      </c>
      <c r="AN56" s="88">
        <f t="shared" si="11"/>
        <v>40</v>
      </c>
      <c r="AO56" s="365"/>
      <c r="AP56" s="365"/>
      <c r="AQ56" s="365"/>
      <c r="AR56" s="365"/>
      <c r="AS56" s="365"/>
      <c r="AT56" s="365"/>
      <c r="AU56" s="365"/>
      <c r="AV56" s="365"/>
      <c r="AW56" s="365"/>
    </row>
    <row r="57" spans="1:49" x14ac:dyDescent="0.25">
      <c r="B57" s="638" t="s">
        <v>177</v>
      </c>
      <c r="C57" s="917" t="s">
        <v>287</v>
      </c>
      <c r="D57" s="918"/>
      <c r="E57" s="124">
        <v>0</v>
      </c>
      <c r="F57" s="125">
        <v>0</v>
      </c>
      <c r="G57" s="125">
        <v>0</v>
      </c>
      <c r="H57" s="126">
        <v>0</v>
      </c>
      <c r="I57" s="124">
        <v>0</v>
      </c>
      <c r="J57" s="125">
        <v>0</v>
      </c>
      <c r="K57" s="125">
        <v>0</v>
      </c>
      <c r="L57" s="126">
        <v>0</v>
      </c>
      <c r="M57" s="124">
        <v>0</v>
      </c>
      <c r="N57" s="125">
        <v>0</v>
      </c>
      <c r="O57" s="125">
        <v>0</v>
      </c>
      <c r="P57" s="126">
        <v>0</v>
      </c>
      <c r="Q57" s="124">
        <v>0</v>
      </c>
      <c r="R57" s="125">
        <v>0</v>
      </c>
      <c r="S57" s="138">
        <v>0</v>
      </c>
      <c r="T57" s="139">
        <v>0</v>
      </c>
      <c r="U57" s="124">
        <v>0</v>
      </c>
      <c r="V57" s="92">
        <v>0</v>
      </c>
      <c r="W57" s="92">
        <v>0</v>
      </c>
      <c r="X57" s="93">
        <v>0</v>
      </c>
      <c r="Y57" s="124">
        <v>0</v>
      </c>
      <c r="Z57" s="125">
        <v>0</v>
      </c>
      <c r="AA57" s="125">
        <v>0</v>
      </c>
      <c r="AB57" s="126">
        <v>0</v>
      </c>
      <c r="AC57" s="395">
        <v>0</v>
      </c>
      <c r="AD57" s="395">
        <v>0</v>
      </c>
      <c r="AE57" s="395">
        <v>0</v>
      </c>
      <c r="AF57" s="395">
        <v>0</v>
      </c>
      <c r="AH57" s="91">
        <f t="shared" si="5"/>
        <v>0</v>
      </c>
      <c r="AI57" s="92">
        <f t="shared" si="6"/>
        <v>0</v>
      </c>
      <c r="AJ57" s="92">
        <f t="shared" si="7"/>
        <v>0</v>
      </c>
      <c r="AK57" s="92">
        <f t="shared" si="8"/>
        <v>0</v>
      </c>
      <c r="AL57" s="92">
        <f t="shared" si="9"/>
        <v>0</v>
      </c>
      <c r="AM57" s="93">
        <f t="shared" si="10"/>
        <v>0</v>
      </c>
      <c r="AN57" s="93">
        <f t="shared" si="11"/>
        <v>0</v>
      </c>
      <c r="AO57" s="218"/>
      <c r="AP57" s="218"/>
      <c r="AQ57" s="218"/>
      <c r="AR57" s="218"/>
      <c r="AS57" s="218"/>
      <c r="AT57" s="218"/>
      <c r="AU57" s="218"/>
      <c r="AV57" s="218"/>
      <c r="AW57" s="218"/>
    </row>
    <row r="58" spans="1:49" ht="15.75" thickBot="1" x14ac:dyDescent="0.3">
      <c r="B58" s="714" t="s">
        <v>178</v>
      </c>
      <c r="C58" s="921"/>
      <c r="D58" s="922"/>
      <c r="E58" s="130">
        <v>0</v>
      </c>
      <c r="F58" s="131">
        <v>0</v>
      </c>
      <c r="G58" s="131">
        <v>0</v>
      </c>
      <c r="H58" s="132">
        <v>0</v>
      </c>
      <c r="I58" s="124">
        <v>0</v>
      </c>
      <c r="J58" s="125">
        <v>0</v>
      </c>
      <c r="K58" s="125">
        <v>0</v>
      </c>
      <c r="L58" s="126">
        <v>0</v>
      </c>
      <c r="M58" s="124">
        <v>0</v>
      </c>
      <c r="N58" s="125">
        <v>0</v>
      </c>
      <c r="O58" s="125">
        <v>0</v>
      </c>
      <c r="P58" s="126">
        <v>0</v>
      </c>
      <c r="Q58" s="124">
        <v>0</v>
      </c>
      <c r="R58" s="125">
        <v>0</v>
      </c>
      <c r="S58" s="138">
        <v>0</v>
      </c>
      <c r="T58" s="139">
        <v>0</v>
      </c>
      <c r="U58" s="124">
        <v>0</v>
      </c>
      <c r="V58" s="92">
        <v>0</v>
      </c>
      <c r="W58" s="92">
        <v>0</v>
      </c>
      <c r="X58" s="93">
        <v>0</v>
      </c>
      <c r="Y58" s="124">
        <v>0</v>
      </c>
      <c r="Z58" s="125">
        <v>0</v>
      </c>
      <c r="AA58" s="125">
        <v>0</v>
      </c>
      <c r="AB58" s="126">
        <v>0</v>
      </c>
      <c r="AC58" s="395">
        <v>0</v>
      </c>
      <c r="AD58" s="395">
        <v>0</v>
      </c>
      <c r="AE58" s="395">
        <v>0</v>
      </c>
      <c r="AF58" s="395">
        <v>0</v>
      </c>
      <c r="AH58" s="91">
        <f t="shared" si="5"/>
        <v>0</v>
      </c>
      <c r="AI58" s="92">
        <f t="shared" si="6"/>
        <v>0</v>
      </c>
      <c r="AJ58" s="92">
        <f t="shared" si="7"/>
        <v>0</v>
      </c>
      <c r="AK58" s="92">
        <f t="shared" si="8"/>
        <v>0</v>
      </c>
      <c r="AL58" s="92">
        <f t="shared" si="9"/>
        <v>0</v>
      </c>
      <c r="AM58" s="93">
        <f t="shared" si="10"/>
        <v>0</v>
      </c>
      <c r="AN58" s="93">
        <f t="shared" si="11"/>
        <v>0</v>
      </c>
      <c r="AO58" s="365"/>
      <c r="AP58" s="365"/>
      <c r="AQ58" s="365"/>
      <c r="AR58" s="365"/>
      <c r="AS58" s="365"/>
      <c r="AT58" s="365"/>
      <c r="AU58" s="365"/>
      <c r="AV58" s="365"/>
      <c r="AW58" s="365"/>
    </row>
    <row r="59" spans="1:49" ht="15.75" thickBot="1" x14ac:dyDescent="0.3">
      <c r="B59" s="636" t="s">
        <v>177</v>
      </c>
      <c r="C59" s="911" t="s">
        <v>289</v>
      </c>
      <c r="D59" s="912"/>
      <c r="E59" s="127">
        <v>33102</v>
      </c>
      <c r="F59" s="128">
        <v>34728</v>
      </c>
      <c r="G59" s="128">
        <v>32633</v>
      </c>
      <c r="H59" s="129">
        <v>31340</v>
      </c>
      <c r="I59" s="127">
        <v>31823</v>
      </c>
      <c r="J59" s="128">
        <v>31786</v>
      </c>
      <c r="K59" s="128">
        <v>37693</v>
      </c>
      <c r="L59" s="129">
        <v>44443</v>
      </c>
      <c r="M59" s="127">
        <v>49436</v>
      </c>
      <c r="N59" s="128">
        <v>59942</v>
      </c>
      <c r="O59" s="128">
        <v>48350</v>
      </c>
      <c r="P59" s="129">
        <v>39221</v>
      </c>
      <c r="Q59" s="127">
        <v>40179</v>
      </c>
      <c r="R59" s="128">
        <v>37663</v>
      </c>
      <c r="S59" s="134">
        <v>32650</v>
      </c>
      <c r="T59" s="135">
        <v>35916</v>
      </c>
      <c r="U59" s="127">
        <v>37854</v>
      </c>
      <c r="V59" s="82">
        <v>32656</v>
      </c>
      <c r="W59" s="82">
        <v>33668</v>
      </c>
      <c r="X59" s="83">
        <v>39082</v>
      </c>
      <c r="Y59" s="127">
        <v>42160</v>
      </c>
      <c r="Z59" s="128">
        <v>46886</v>
      </c>
      <c r="AA59" s="128">
        <v>48820</v>
      </c>
      <c r="AB59" s="129">
        <v>58573</v>
      </c>
      <c r="AC59" s="82">
        <v>44377</v>
      </c>
      <c r="AD59" s="82">
        <v>46400</v>
      </c>
      <c r="AE59" s="82">
        <v>58919</v>
      </c>
      <c r="AF59" s="82">
        <v>78136</v>
      </c>
      <c r="AH59" s="81">
        <f t="shared" si="5"/>
        <v>131803</v>
      </c>
      <c r="AI59" s="82">
        <f t="shared" si="6"/>
        <v>145745</v>
      </c>
      <c r="AJ59" s="82">
        <f t="shared" si="7"/>
        <v>196949</v>
      </c>
      <c r="AK59" s="82">
        <f t="shared" si="8"/>
        <v>146408</v>
      </c>
      <c r="AL59" s="82">
        <f t="shared" si="9"/>
        <v>143260</v>
      </c>
      <c r="AM59" s="83">
        <f t="shared" si="10"/>
        <v>196439</v>
      </c>
      <c r="AN59" s="83">
        <f t="shared" si="11"/>
        <v>227832</v>
      </c>
      <c r="AO59" s="218"/>
      <c r="AP59" s="218"/>
      <c r="AQ59" s="218"/>
      <c r="AR59" s="218"/>
      <c r="AS59" s="218"/>
      <c r="AT59" s="218"/>
      <c r="AU59" s="218"/>
      <c r="AV59" s="218"/>
      <c r="AW59" s="218"/>
    </row>
    <row r="60" spans="1:49" x14ac:dyDescent="0.25">
      <c r="B60" s="637" t="s">
        <v>178</v>
      </c>
      <c r="C60" s="915"/>
      <c r="D60" s="916"/>
      <c r="E60" s="121">
        <v>12336</v>
      </c>
      <c r="F60" s="122">
        <v>15629</v>
      </c>
      <c r="G60" s="122">
        <v>14426</v>
      </c>
      <c r="H60" s="123">
        <v>13154</v>
      </c>
      <c r="I60" s="121">
        <v>11093</v>
      </c>
      <c r="J60" s="122">
        <v>13042</v>
      </c>
      <c r="K60" s="122">
        <v>18241</v>
      </c>
      <c r="L60" s="123">
        <v>20519</v>
      </c>
      <c r="M60" s="121">
        <v>22679</v>
      </c>
      <c r="N60" s="122">
        <v>26993</v>
      </c>
      <c r="O60" s="122">
        <v>25748</v>
      </c>
      <c r="P60" s="123">
        <v>17321</v>
      </c>
      <c r="Q60" s="121">
        <v>19669</v>
      </c>
      <c r="R60" s="122">
        <v>17228</v>
      </c>
      <c r="S60" s="136">
        <v>12479</v>
      </c>
      <c r="T60" s="137">
        <v>12561</v>
      </c>
      <c r="U60" s="121">
        <v>12664</v>
      </c>
      <c r="V60" s="87">
        <v>11460</v>
      </c>
      <c r="W60" s="87">
        <v>11826</v>
      </c>
      <c r="X60" s="88">
        <v>13696</v>
      </c>
      <c r="Y60" s="121">
        <v>16769</v>
      </c>
      <c r="Z60" s="122">
        <v>20454</v>
      </c>
      <c r="AA60" s="122">
        <v>22708</v>
      </c>
      <c r="AB60" s="123">
        <v>25318</v>
      </c>
      <c r="AC60" s="87">
        <v>16988</v>
      </c>
      <c r="AD60" s="87">
        <v>21545</v>
      </c>
      <c r="AE60" s="87">
        <v>28030</v>
      </c>
      <c r="AF60" s="87">
        <v>31774</v>
      </c>
      <c r="AH60" s="86">
        <f t="shared" si="5"/>
        <v>55545</v>
      </c>
      <c r="AI60" s="87">
        <f t="shared" si="6"/>
        <v>62895</v>
      </c>
      <c r="AJ60" s="87">
        <f t="shared" si="7"/>
        <v>92741</v>
      </c>
      <c r="AK60" s="87">
        <f t="shared" si="8"/>
        <v>61937</v>
      </c>
      <c r="AL60" s="87">
        <f t="shared" si="9"/>
        <v>49646</v>
      </c>
      <c r="AM60" s="88">
        <f t="shared" si="10"/>
        <v>85249</v>
      </c>
      <c r="AN60" s="83">
        <f t="shared" si="11"/>
        <v>98337</v>
      </c>
      <c r="AO60" s="365"/>
      <c r="AP60" s="365"/>
      <c r="AQ60" s="365"/>
      <c r="AR60" s="365"/>
      <c r="AS60" s="365"/>
      <c r="AT60" s="365"/>
      <c r="AU60" s="365"/>
      <c r="AV60" s="365"/>
      <c r="AW60" s="365"/>
    </row>
    <row r="61" spans="1:49" x14ac:dyDescent="0.25">
      <c r="B61" s="638" t="s">
        <v>177</v>
      </c>
      <c r="C61" s="917" t="s">
        <v>288</v>
      </c>
      <c r="D61" s="918"/>
      <c r="E61" s="124">
        <v>2069</v>
      </c>
      <c r="F61" s="125">
        <v>2182</v>
      </c>
      <c r="G61" s="125">
        <v>1657</v>
      </c>
      <c r="H61" s="126">
        <v>2284</v>
      </c>
      <c r="I61" s="124">
        <v>1759</v>
      </c>
      <c r="J61" s="125">
        <v>1875</v>
      </c>
      <c r="K61" s="125">
        <v>1732</v>
      </c>
      <c r="L61" s="126">
        <v>2123</v>
      </c>
      <c r="M61" s="124">
        <v>3177</v>
      </c>
      <c r="N61" s="125">
        <v>2009</v>
      </c>
      <c r="O61" s="125">
        <v>2004</v>
      </c>
      <c r="P61" s="126">
        <v>2269</v>
      </c>
      <c r="Q61" s="124">
        <v>2802</v>
      </c>
      <c r="R61" s="125">
        <v>2311</v>
      </c>
      <c r="S61" s="138">
        <v>1367</v>
      </c>
      <c r="T61" s="139">
        <v>2377</v>
      </c>
      <c r="U61" s="124">
        <v>2400</v>
      </c>
      <c r="V61" s="92">
        <v>1614</v>
      </c>
      <c r="W61" s="92">
        <v>1284</v>
      </c>
      <c r="X61" s="93">
        <v>1682</v>
      </c>
      <c r="Y61" s="124">
        <v>2146</v>
      </c>
      <c r="Z61" s="125">
        <v>1883</v>
      </c>
      <c r="AA61" s="125">
        <v>1034</v>
      </c>
      <c r="AB61" s="126">
        <v>2460</v>
      </c>
      <c r="AC61" s="91">
        <v>1499</v>
      </c>
      <c r="AD61" s="92">
        <v>1897</v>
      </c>
      <c r="AE61" s="92">
        <v>2522</v>
      </c>
      <c r="AF61" s="92">
        <v>2446</v>
      </c>
      <c r="AH61" s="91">
        <f t="shared" si="5"/>
        <v>8192</v>
      </c>
      <c r="AI61" s="92">
        <f t="shared" si="6"/>
        <v>7489</v>
      </c>
      <c r="AJ61" s="92">
        <f t="shared" si="7"/>
        <v>9459</v>
      </c>
      <c r="AK61" s="92">
        <f t="shared" si="8"/>
        <v>8857</v>
      </c>
      <c r="AL61" s="92">
        <f t="shared" si="9"/>
        <v>6980</v>
      </c>
      <c r="AM61" s="93">
        <f t="shared" si="10"/>
        <v>7523</v>
      </c>
      <c r="AN61" s="93">
        <f t="shared" si="11"/>
        <v>8364</v>
      </c>
      <c r="AO61" s="218"/>
      <c r="AP61" s="218"/>
      <c r="AQ61" s="218"/>
      <c r="AR61" s="218"/>
      <c r="AS61" s="218"/>
      <c r="AT61" s="218"/>
      <c r="AU61" s="218"/>
      <c r="AV61" s="218"/>
      <c r="AW61" s="218"/>
    </row>
    <row r="62" spans="1:49" ht="15.75" thickBot="1" x14ac:dyDescent="0.3">
      <c r="B62" s="639" t="s">
        <v>178</v>
      </c>
      <c r="C62" s="921"/>
      <c r="D62" s="922"/>
      <c r="E62" s="130">
        <v>774</v>
      </c>
      <c r="F62" s="131">
        <v>753</v>
      </c>
      <c r="G62" s="131">
        <v>573</v>
      </c>
      <c r="H62" s="132">
        <v>991</v>
      </c>
      <c r="I62" s="130">
        <v>964</v>
      </c>
      <c r="J62" s="131">
        <v>520</v>
      </c>
      <c r="K62" s="131">
        <v>486</v>
      </c>
      <c r="L62" s="132">
        <v>700</v>
      </c>
      <c r="M62" s="130">
        <v>1009</v>
      </c>
      <c r="N62" s="131">
        <v>636</v>
      </c>
      <c r="O62" s="131">
        <v>736</v>
      </c>
      <c r="P62" s="132">
        <v>925</v>
      </c>
      <c r="Q62" s="130">
        <v>607</v>
      </c>
      <c r="R62" s="131">
        <v>623</v>
      </c>
      <c r="S62" s="140">
        <v>390</v>
      </c>
      <c r="T62" s="141">
        <v>686</v>
      </c>
      <c r="U62" s="130">
        <v>689</v>
      </c>
      <c r="V62" s="97">
        <v>590</v>
      </c>
      <c r="W62" s="97">
        <v>405</v>
      </c>
      <c r="X62" s="98">
        <v>615</v>
      </c>
      <c r="Y62" s="130">
        <v>625</v>
      </c>
      <c r="Z62" s="131">
        <v>691</v>
      </c>
      <c r="AA62" s="131">
        <v>400</v>
      </c>
      <c r="AB62" s="132">
        <v>466</v>
      </c>
      <c r="AC62" s="97">
        <v>260</v>
      </c>
      <c r="AD62" s="97">
        <v>183</v>
      </c>
      <c r="AE62" s="97">
        <v>696</v>
      </c>
      <c r="AF62" s="97">
        <v>561</v>
      </c>
      <c r="AH62" s="96">
        <f t="shared" si="5"/>
        <v>3091</v>
      </c>
      <c r="AI62" s="97">
        <f t="shared" si="6"/>
        <v>2670</v>
      </c>
      <c r="AJ62" s="97">
        <f t="shared" si="7"/>
        <v>3306</v>
      </c>
      <c r="AK62" s="97">
        <f t="shared" si="8"/>
        <v>2306</v>
      </c>
      <c r="AL62" s="97">
        <f t="shared" si="9"/>
        <v>2299</v>
      </c>
      <c r="AM62" s="98">
        <f t="shared" si="10"/>
        <v>2182</v>
      </c>
      <c r="AN62" s="93">
        <f t="shared" si="11"/>
        <v>1700</v>
      </c>
      <c r="AO62" s="365"/>
      <c r="AP62" s="365"/>
      <c r="AQ62" s="365"/>
      <c r="AR62" s="365"/>
      <c r="AS62" s="365"/>
      <c r="AT62" s="365"/>
      <c r="AU62" s="365"/>
      <c r="AV62" s="365"/>
      <c r="AW62" s="365"/>
    </row>
    <row r="63" spans="1:49" ht="15.75" thickBot="1" x14ac:dyDescent="0.3">
      <c r="B63" s="636" t="s">
        <v>177</v>
      </c>
      <c r="C63" s="911" t="s">
        <v>291</v>
      </c>
      <c r="D63" s="912"/>
      <c r="E63" s="127">
        <v>160047</v>
      </c>
      <c r="F63" s="128">
        <v>154720</v>
      </c>
      <c r="G63" s="128">
        <v>149153</v>
      </c>
      <c r="H63" s="129">
        <v>154282</v>
      </c>
      <c r="I63" s="127">
        <v>148276</v>
      </c>
      <c r="J63" s="128">
        <v>135250</v>
      </c>
      <c r="K63" s="128">
        <v>148620</v>
      </c>
      <c r="L63" s="129">
        <v>159184</v>
      </c>
      <c r="M63" s="127">
        <v>157000</v>
      </c>
      <c r="N63" s="128">
        <v>159981</v>
      </c>
      <c r="O63" s="128">
        <v>146524</v>
      </c>
      <c r="P63" s="129">
        <v>144152</v>
      </c>
      <c r="Q63" s="127">
        <v>134450</v>
      </c>
      <c r="R63" s="128">
        <v>136886</v>
      </c>
      <c r="S63" s="134">
        <v>142848</v>
      </c>
      <c r="T63" s="135">
        <v>156699</v>
      </c>
      <c r="U63" s="127">
        <v>152638</v>
      </c>
      <c r="V63" s="82">
        <v>139493</v>
      </c>
      <c r="W63" s="82">
        <v>135778</v>
      </c>
      <c r="X63" s="83">
        <v>147940</v>
      </c>
      <c r="Y63" s="127">
        <v>157576</v>
      </c>
      <c r="Z63" s="128">
        <v>156692</v>
      </c>
      <c r="AA63" s="128">
        <v>153189</v>
      </c>
      <c r="AB63" s="129">
        <v>171889</v>
      </c>
      <c r="AC63" s="122">
        <v>168330</v>
      </c>
      <c r="AD63" s="122">
        <v>145428</v>
      </c>
      <c r="AE63" s="122">
        <v>156449</v>
      </c>
      <c r="AF63" s="122">
        <v>164879</v>
      </c>
      <c r="AH63" s="81">
        <f t="shared" si="5"/>
        <v>618202</v>
      </c>
      <c r="AI63" s="82">
        <f t="shared" si="6"/>
        <v>591330</v>
      </c>
      <c r="AJ63" s="82">
        <f t="shared" si="7"/>
        <v>607657</v>
      </c>
      <c r="AK63" s="82">
        <f t="shared" si="8"/>
        <v>570883</v>
      </c>
      <c r="AL63" s="82">
        <f t="shared" si="9"/>
        <v>575849</v>
      </c>
      <c r="AM63" s="83">
        <f t="shared" si="10"/>
        <v>639346</v>
      </c>
      <c r="AN63" s="83">
        <f t="shared" si="11"/>
        <v>635086</v>
      </c>
      <c r="AO63" s="218"/>
      <c r="AP63" s="218"/>
      <c r="AQ63" s="218"/>
      <c r="AR63" s="218"/>
      <c r="AS63" s="218"/>
      <c r="AT63" s="218"/>
      <c r="AU63" s="218"/>
      <c r="AV63" s="218"/>
      <c r="AW63" s="218"/>
    </row>
    <row r="64" spans="1:49" x14ac:dyDescent="0.25">
      <c r="B64" s="637" t="s">
        <v>178</v>
      </c>
      <c r="C64" s="915"/>
      <c r="D64" s="916"/>
      <c r="E64" s="121">
        <v>55124</v>
      </c>
      <c r="F64" s="122">
        <v>56620</v>
      </c>
      <c r="G64" s="122">
        <v>51888</v>
      </c>
      <c r="H64" s="123">
        <v>52135</v>
      </c>
      <c r="I64" s="121">
        <v>47533</v>
      </c>
      <c r="J64" s="122">
        <v>45478</v>
      </c>
      <c r="K64" s="122">
        <v>50699</v>
      </c>
      <c r="L64" s="123">
        <v>53832</v>
      </c>
      <c r="M64" s="121">
        <v>56992</v>
      </c>
      <c r="N64" s="122">
        <v>58270</v>
      </c>
      <c r="O64" s="122">
        <v>54194</v>
      </c>
      <c r="P64" s="123">
        <v>50112</v>
      </c>
      <c r="Q64" s="121">
        <v>49949</v>
      </c>
      <c r="R64" s="122">
        <v>49053</v>
      </c>
      <c r="S64" s="136">
        <v>47775</v>
      </c>
      <c r="T64" s="137">
        <v>52474</v>
      </c>
      <c r="U64" s="121">
        <v>50469</v>
      </c>
      <c r="V64" s="87">
        <v>47843</v>
      </c>
      <c r="W64" s="87">
        <v>44113</v>
      </c>
      <c r="X64" s="88">
        <v>48532</v>
      </c>
      <c r="Y64" s="121">
        <v>55477</v>
      </c>
      <c r="Z64" s="122">
        <v>56596</v>
      </c>
      <c r="AA64" s="122">
        <v>57883</v>
      </c>
      <c r="AB64" s="123">
        <v>62182</v>
      </c>
      <c r="AC64" s="122">
        <v>55723</v>
      </c>
      <c r="AD64" s="122">
        <v>55509</v>
      </c>
      <c r="AE64" s="122">
        <v>59735</v>
      </c>
      <c r="AF64" s="122">
        <v>59490</v>
      </c>
      <c r="AH64" s="86">
        <f t="shared" si="5"/>
        <v>215767</v>
      </c>
      <c r="AI64" s="87">
        <f t="shared" si="6"/>
        <v>197542</v>
      </c>
      <c r="AJ64" s="87">
        <f t="shared" si="7"/>
        <v>219568</v>
      </c>
      <c r="AK64" s="87">
        <f t="shared" si="8"/>
        <v>199251</v>
      </c>
      <c r="AL64" s="87">
        <f t="shared" si="9"/>
        <v>190957</v>
      </c>
      <c r="AM64" s="88">
        <f t="shared" si="10"/>
        <v>232138</v>
      </c>
      <c r="AN64" s="83">
        <f t="shared" si="11"/>
        <v>230457</v>
      </c>
      <c r="AO64" s="365"/>
      <c r="AP64" s="365"/>
      <c r="AQ64" s="365"/>
      <c r="AR64" s="365"/>
      <c r="AS64" s="365"/>
      <c r="AT64" s="365"/>
      <c r="AU64" s="365"/>
      <c r="AV64" s="365"/>
      <c r="AW64" s="365"/>
    </row>
    <row r="65" spans="1:49" x14ac:dyDescent="0.25">
      <c r="B65" s="638" t="s">
        <v>177</v>
      </c>
      <c r="C65" s="917" t="s">
        <v>290</v>
      </c>
      <c r="D65" s="918"/>
      <c r="E65" s="124">
        <v>142114</v>
      </c>
      <c r="F65" s="125">
        <v>142432</v>
      </c>
      <c r="G65" s="125">
        <v>143744</v>
      </c>
      <c r="H65" s="126">
        <v>144185</v>
      </c>
      <c r="I65" s="124">
        <v>143491</v>
      </c>
      <c r="J65" s="125">
        <v>137759</v>
      </c>
      <c r="K65" s="125">
        <v>136307</v>
      </c>
      <c r="L65" s="126">
        <v>132634</v>
      </c>
      <c r="M65" s="124">
        <v>120653</v>
      </c>
      <c r="N65" s="125">
        <v>114827</v>
      </c>
      <c r="O65" s="125">
        <v>118041</v>
      </c>
      <c r="P65" s="126">
        <v>113949</v>
      </c>
      <c r="Q65" s="124">
        <v>114292</v>
      </c>
      <c r="R65" s="125">
        <v>114490</v>
      </c>
      <c r="S65" s="138">
        <v>121892</v>
      </c>
      <c r="T65" s="139">
        <v>124372</v>
      </c>
      <c r="U65" s="124">
        <v>124865</v>
      </c>
      <c r="V65" s="92">
        <v>128048</v>
      </c>
      <c r="W65" s="92">
        <v>117750</v>
      </c>
      <c r="X65" s="93">
        <v>120734</v>
      </c>
      <c r="Y65" s="124">
        <v>114889</v>
      </c>
      <c r="Z65" s="125">
        <v>114330</v>
      </c>
      <c r="AA65" s="125">
        <v>114543</v>
      </c>
      <c r="AB65" s="126">
        <v>114576</v>
      </c>
      <c r="AC65" s="92">
        <v>110336</v>
      </c>
      <c r="AD65" s="92">
        <v>101599</v>
      </c>
      <c r="AE65" s="92">
        <v>111179</v>
      </c>
      <c r="AF65" s="92">
        <v>108599</v>
      </c>
      <c r="AH65" s="91">
        <f t="shared" si="5"/>
        <v>572475</v>
      </c>
      <c r="AI65" s="92">
        <f t="shared" si="6"/>
        <v>550191</v>
      </c>
      <c r="AJ65" s="92">
        <f t="shared" si="7"/>
        <v>467470</v>
      </c>
      <c r="AK65" s="92">
        <f t="shared" si="8"/>
        <v>475046</v>
      </c>
      <c r="AL65" s="92">
        <f t="shared" si="9"/>
        <v>491397</v>
      </c>
      <c r="AM65" s="93">
        <f t="shared" si="10"/>
        <v>458338</v>
      </c>
      <c r="AN65" s="93">
        <f t="shared" si="11"/>
        <v>431713</v>
      </c>
      <c r="AO65" s="218"/>
      <c r="AP65" s="218"/>
      <c r="AQ65" s="218"/>
      <c r="AR65" s="218"/>
      <c r="AS65" s="218"/>
      <c r="AT65" s="218"/>
      <c r="AU65" s="218"/>
      <c r="AV65" s="218"/>
      <c r="AW65" s="218"/>
    </row>
    <row r="66" spans="1:49" ht="15.75" thickBot="1" x14ac:dyDescent="0.3">
      <c r="B66" s="639" t="s">
        <v>178</v>
      </c>
      <c r="C66" s="921"/>
      <c r="D66" s="922"/>
      <c r="E66" s="130">
        <v>45723</v>
      </c>
      <c r="F66" s="131">
        <v>44608</v>
      </c>
      <c r="G66" s="131">
        <v>45852</v>
      </c>
      <c r="H66" s="132">
        <v>50263</v>
      </c>
      <c r="I66" s="130">
        <v>46426</v>
      </c>
      <c r="J66" s="131">
        <v>47222</v>
      </c>
      <c r="K66" s="131">
        <v>45047</v>
      </c>
      <c r="L66" s="132">
        <v>42290</v>
      </c>
      <c r="M66" s="130">
        <v>36111</v>
      </c>
      <c r="N66" s="131">
        <v>35438</v>
      </c>
      <c r="O66" s="131">
        <v>35327</v>
      </c>
      <c r="P66" s="132">
        <v>36319</v>
      </c>
      <c r="Q66" s="130">
        <v>33100</v>
      </c>
      <c r="R66" s="131">
        <v>36531</v>
      </c>
      <c r="S66" s="140">
        <v>38667</v>
      </c>
      <c r="T66" s="141">
        <v>38025</v>
      </c>
      <c r="U66" s="130">
        <v>35322</v>
      </c>
      <c r="V66" s="97">
        <v>36465</v>
      </c>
      <c r="W66" s="97">
        <v>33658</v>
      </c>
      <c r="X66" s="98">
        <v>33983</v>
      </c>
      <c r="Y66" s="130">
        <v>32219</v>
      </c>
      <c r="Z66" s="131">
        <v>33733</v>
      </c>
      <c r="AA66" s="131">
        <v>35168</v>
      </c>
      <c r="AB66" s="132">
        <v>33503</v>
      </c>
      <c r="AC66" s="97">
        <v>30801</v>
      </c>
      <c r="AD66" s="97">
        <v>29303</v>
      </c>
      <c r="AE66" s="97">
        <v>34015</v>
      </c>
      <c r="AF66" s="97">
        <v>30565</v>
      </c>
      <c r="AH66" s="96">
        <f t="shared" si="5"/>
        <v>186446</v>
      </c>
      <c r="AI66" s="97">
        <f t="shared" si="6"/>
        <v>180985</v>
      </c>
      <c r="AJ66" s="97">
        <f t="shared" si="7"/>
        <v>143195</v>
      </c>
      <c r="AK66" s="97">
        <f t="shared" si="8"/>
        <v>146323</v>
      </c>
      <c r="AL66" s="97">
        <f t="shared" si="9"/>
        <v>139428</v>
      </c>
      <c r="AM66" s="98">
        <f t="shared" si="10"/>
        <v>134623</v>
      </c>
      <c r="AN66" s="93">
        <f t="shared" si="11"/>
        <v>124684</v>
      </c>
      <c r="AO66" s="365"/>
      <c r="AP66" s="365"/>
      <c r="AQ66" s="365"/>
      <c r="AR66" s="365"/>
      <c r="AS66" s="365"/>
      <c r="AT66" s="365"/>
      <c r="AU66" s="365"/>
      <c r="AV66" s="365"/>
      <c r="AW66" s="365"/>
    </row>
    <row r="67" spans="1:49" s="101" customFormat="1" ht="15.75" thickBot="1" x14ac:dyDescent="0.3">
      <c r="A67"/>
      <c r="B67" s="715" t="s">
        <v>177</v>
      </c>
      <c r="C67" s="911" t="s">
        <v>273</v>
      </c>
      <c r="D67" s="912"/>
      <c r="E67" s="127">
        <v>2910.08</v>
      </c>
      <c r="F67" s="128">
        <v>3801.4720000000002</v>
      </c>
      <c r="G67" s="128">
        <v>4454.0159999999996</v>
      </c>
      <c r="H67" s="129">
        <v>5410.0479999999998</v>
      </c>
      <c r="I67" s="127">
        <v>4976.8959999999997</v>
      </c>
      <c r="J67" s="128">
        <v>4264.8320000000003</v>
      </c>
      <c r="K67" s="128">
        <v>4225.152</v>
      </c>
      <c r="L67" s="129">
        <v>5775.4879999999994</v>
      </c>
      <c r="M67" s="127">
        <v>7882.6239999999998</v>
      </c>
      <c r="N67" s="128">
        <v>7669.5040000000008</v>
      </c>
      <c r="O67" s="128">
        <v>4922.7520000000004</v>
      </c>
      <c r="P67" s="129">
        <v>6012.8</v>
      </c>
      <c r="Q67" s="127">
        <v>9428.7360000000008</v>
      </c>
      <c r="R67" s="128">
        <v>6231.5520000000006</v>
      </c>
      <c r="S67" s="134">
        <v>6080.5119999999997</v>
      </c>
      <c r="T67" s="135">
        <v>10007.423999999999</v>
      </c>
      <c r="U67" s="127">
        <v>9484.0319999999992</v>
      </c>
      <c r="V67" s="82">
        <v>6188.6720000000005</v>
      </c>
      <c r="W67" s="82">
        <v>7974.6560000000009</v>
      </c>
      <c r="X67" s="83">
        <v>7815.9359999999997</v>
      </c>
      <c r="Y67" s="127">
        <v>7485.0560000000005</v>
      </c>
      <c r="Z67" s="128">
        <v>7571.4560000000001</v>
      </c>
      <c r="AA67" s="128">
        <v>6096.64</v>
      </c>
      <c r="AB67" s="129">
        <v>5830.9120000000003</v>
      </c>
      <c r="AC67" s="82">
        <v>6936.4480000000003</v>
      </c>
      <c r="AD67" s="82">
        <v>6927.4880000000003</v>
      </c>
      <c r="AE67" s="82">
        <v>6359.2960000000003</v>
      </c>
      <c r="AF67" s="82">
        <v>9242.6239999999998</v>
      </c>
      <c r="AH67" s="81">
        <f t="shared" si="5"/>
        <v>16575.615999999998</v>
      </c>
      <c r="AI67" s="82">
        <f t="shared" si="6"/>
        <v>19242.367999999999</v>
      </c>
      <c r="AJ67" s="82">
        <f t="shared" si="7"/>
        <v>26487.68</v>
      </c>
      <c r="AK67" s="82">
        <f t="shared" si="8"/>
        <v>31748.223999999998</v>
      </c>
      <c r="AL67" s="82">
        <f t="shared" si="9"/>
        <v>31463.296000000002</v>
      </c>
      <c r="AM67" s="83">
        <f t="shared" si="10"/>
        <v>26984.064000000002</v>
      </c>
      <c r="AN67" s="83">
        <f t="shared" si="11"/>
        <v>29465.856000000003</v>
      </c>
      <c r="AO67" s="218"/>
      <c r="AP67" s="218"/>
      <c r="AQ67" s="218"/>
      <c r="AR67" s="218"/>
      <c r="AS67" s="218"/>
      <c r="AT67" s="218"/>
      <c r="AU67" s="218"/>
      <c r="AV67" s="218"/>
      <c r="AW67" s="218"/>
    </row>
    <row r="68" spans="1:49" s="101" customFormat="1" x14ac:dyDescent="0.25">
      <c r="A68"/>
      <c r="B68" s="637" t="s">
        <v>178</v>
      </c>
      <c r="C68" s="915"/>
      <c r="D68" s="916"/>
      <c r="E68" s="121">
        <v>1201.92</v>
      </c>
      <c r="F68" s="122">
        <v>1684.864</v>
      </c>
      <c r="G68" s="122">
        <v>1978.4960000000001</v>
      </c>
      <c r="H68" s="123">
        <v>1822.336</v>
      </c>
      <c r="I68" s="121">
        <v>1677.184</v>
      </c>
      <c r="J68" s="122">
        <v>1918.9760000000001</v>
      </c>
      <c r="K68" s="122">
        <v>2140.4160000000002</v>
      </c>
      <c r="L68" s="123">
        <v>3132.9279999999999</v>
      </c>
      <c r="M68" s="121">
        <v>3801.4720000000002</v>
      </c>
      <c r="N68" s="122">
        <v>3206.7840000000001</v>
      </c>
      <c r="O68" s="122">
        <v>1657.856</v>
      </c>
      <c r="P68" s="123">
        <v>2126.4639999999999</v>
      </c>
      <c r="Q68" s="121">
        <v>2420.7359999999999</v>
      </c>
      <c r="R68" s="122">
        <v>1822.336</v>
      </c>
      <c r="S68" s="136">
        <v>1370.24</v>
      </c>
      <c r="T68" s="137">
        <v>2155.2640000000001</v>
      </c>
      <c r="U68" s="121">
        <v>2407.808</v>
      </c>
      <c r="V68" s="87">
        <v>1672.8320000000001</v>
      </c>
      <c r="W68" s="87">
        <v>2086.0160000000001</v>
      </c>
      <c r="X68" s="88">
        <v>1765.8880000000001</v>
      </c>
      <c r="Y68" s="121">
        <v>1688.576</v>
      </c>
      <c r="Z68" s="122">
        <v>2549.248</v>
      </c>
      <c r="AA68" s="122">
        <v>1564.4159999999999</v>
      </c>
      <c r="AB68" s="123">
        <v>1397.1200000000001</v>
      </c>
      <c r="AC68" s="87">
        <v>1667.328</v>
      </c>
      <c r="AD68" s="87">
        <v>1694.08</v>
      </c>
      <c r="AE68" s="87">
        <v>1168.5119999999999</v>
      </c>
      <c r="AF68" s="87">
        <v>1595.136</v>
      </c>
      <c r="AH68" s="86">
        <f t="shared" si="5"/>
        <v>6687.6160000000009</v>
      </c>
      <c r="AI68" s="87">
        <f t="shared" si="6"/>
        <v>8869.5040000000008</v>
      </c>
      <c r="AJ68" s="87">
        <f t="shared" si="7"/>
        <v>10792.576000000001</v>
      </c>
      <c r="AK68" s="87">
        <f t="shared" si="8"/>
        <v>7768.576</v>
      </c>
      <c r="AL68" s="87">
        <f t="shared" si="9"/>
        <v>7932.5440000000008</v>
      </c>
      <c r="AM68" s="88">
        <f t="shared" si="10"/>
        <v>7199.3600000000006</v>
      </c>
      <c r="AN68" s="83">
        <f t="shared" si="11"/>
        <v>6125.0560000000005</v>
      </c>
      <c r="AO68" s="365"/>
      <c r="AP68" s="365"/>
      <c r="AQ68" s="365"/>
      <c r="AR68" s="365"/>
      <c r="AS68" s="365"/>
      <c r="AT68" s="365"/>
      <c r="AU68" s="365"/>
      <c r="AV68" s="365"/>
      <c r="AW68" s="365"/>
    </row>
    <row r="69" spans="1:49" s="101" customFormat="1" x14ac:dyDescent="0.25">
      <c r="A69"/>
      <c r="B69" s="638" t="s">
        <v>177</v>
      </c>
      <c r="C69" s="917" t="s">
        <v>274</v>
      </c>
      <c r="D69" s="918"/>
      <c r="E69" s="124">
        <v>31.872</v>
      </c>
      <c r="F69" s="125">
        <v>0</v>
      </c>
      <c r="G69" s="125">
        <v>0</v>
      </c>
      <c r="H69" s="126">
        <v>126.464</v>
      </c>
      <c r="I69" s="124">
        <v>0</v>
      </c>
      <c r="J69" s="125">
        <v>0.128</v>
      </c>
      <c r="K69" s="125">
        <v>21.376000000000001</v>
      </c>
      <c r="L69" s="126">
        <v>0.89600000000000002</v>
      </c>
      <c r="M69" s="124">
        <v>18.048000000000002</v>
      </c>
      <c r="N69" s="125">
        <v>0</v>
      </c>
      <c r="O69" s="125">
        <v>51.328000000000003</v>
      </c>
      <c r="P69" s="126">
        <v>31.872</v>
      </c>
      <c r="Q69" s="124">
        <v>1.92</v>
      </c>
      <c r="R69" s="125">
        <v>94.335999999999999</v>
      </c>
      <c r="S69" s="138">
        <v>30.72</v>
      </c>
      <c r="T69" s="139">
        <v>185.47200000000001</v>
      </c>
      <c r="U69" s="124">
        <v>24.832000000000001</v>
      </c>
      <c r="V69" s="92">
        <v>141.56800000000001</v>
      </c>
      <c r="W69" s="92">
        <v>75.13600000000001</v>
      </c>
      <c r="X69" s="93">
        <v>162.68800000000002</v>
      </c>
      <c r="Y69" s="124">
        <v>89.984000000000009</v>
      </c>
      <c r="Z69" s="125">
        <v>88.704000000000008</v>
      </c>
      <c r="AA69" s="125">
        <v>0</v>
      </c>
      <c r="AB69" s="126">
        <v>61.44</v>
      </c>
      <c r="AC69" s="92">
        <v>159.87200000000001</v>
      </c>
      <c r="AD69" s="92">
        <v>1.536</v>
      </c>
      <c r="AE69" s="92">
        <v>0</v>
      </c>
      <c r="AF69" s="92">
        <v>0</v>
      </c>
      <c r="AH69" s="91">
        <f t="shared" si="5"/>
        <v>158.33600000000001</v>
      </c>
      <c r="AI69" s="92">
        <f t="shared" si="6"/>
        <v>22.400000000000002</v>
      </c>
      <c r="AJ69" s="92">
        <f t="shared" si="7"/>
        <v>101.248</v>
      </c>
      <c r="AK69" s="92">
        <f t="shared" si="8"/>
        <v>312.44799999999998</v>
      </c>
      <c r="AL69" s="92">
        <f t="shared" si="9"/>
        <v>404.22400000000005</v>
      </c>
      <c r="AM69" s="93">
        <f t="shared" si="10"/>
        <v>240.12800000000001</v>
      </c>
      <c r="AN69" s="93">
        <f t="shared" si="11"/>
        <v>161.40800000000002</v>
      </c>
    </row>
    <row r="70" spans="1:49" s="101" customFormat="1" ht="15.75" thickBot="1" x14ac:dyDescent="0.3">
      <c r="A70"/>
      <c r="B70" s="714" t="s">
        <v>178</v>
      </c>
      <c r="C70" s="921"/>
      <c r="D70" s="922"/>
      <c r="E70" s="130">
        <v>0.25600000000000001</v>
      </c>
      <c r="F70" s="131">
        <v>0</v>
      </c>
      <c r="G70" s="131">
        <v>0</v>
      </c>
      <c r="H70" s="132">
        <v>0</v>
      </c>
      <c r="I70" s="130">
        <v>0</v>
      </c>
      <c r="J70" s="131">
        <v>0.128</v>
      </c>
      <c r="K70" s="131">
        <v>20.224</v>
      </c>
      <c r="L70" s="132">
        <v>0.25600000000000001</v>
      </c>
      <c r="M70" s="130">
        <v>0.128</v>
      </c>
      <c r="N70" s="131">
        <v>0</v>
      </c>
      <c r="O70" s="131">
        <v>17.920000000000002</v>
      </c>
      <c r="P70" s="132">
        <v>1.024</v>
      </c>
      <c r="Q70" s="130">
        <v>1.92</v>
      </c>
      <c r="R70" s="131">
        <v>45.311999999999998</v>
      </c>
      <c r="S70" s="140">
        <v>30.72</v>
      </c>
      <c r="T70" s="141">
        <v>14.592000000000001</v>
      </c>
      <c r="U70" s="130">
        <v>0</v>
      </c>
      <c r="V70" s="97">
        <v>86.016000000000005</v>
      </c>
      <c r="W70" s="97">
        <v>44.672000000000004</v>
      </c>
      <c r="X70" s="98">
        <v>121.47200000000001</v>
      </c>
      <c r="Y70" s="130">
        <v>57.984000000000002</v>
      </c>
      <c r="Z70" s="131">
        <v>63.616</v>
      </c>
      <c r="AA70" s="131">
        <v>0</v>
      </c>
      <c r="AB70" s="132">
        <v>61.44</v>
      </c>
      <c r="AC70" s="96">
        <v>0</v>
      </c>
      <c r="AD70" s="97">
        <v>0</v>
      </c>
      <c r="AE70" s="97">
        <v>0</v>
      </c>
      <c r="AF70" s="92">
        <v>0</v>
      </c>
      <c r="AH70" s="96">
        <f t="shared" si="5"/>
        <v>0.25600000000000001</v>
      </c>
      <c r="AI70" s="97">
        <f t="shared" si="6"/>
        <v>20.608000000000001</v>
      </c>
      <c r="AJ70" s="97">
        <f t="shared" si="7"/>
        <v>19.072000000000003</v>
      </c>
      <c r="AK70" s="97">
        <f t="shared" si="8"/>
        <v>92.543999999999997</v>
      </c>
      <c r="AL70" s="97">
        <f t="shared" si="9"/>
        <v>252.16000000000003</v>
      </c>
      <c r="AM70" s="98">
        <f t="shared" si="10"/>
        <v>183.04</v>
      </c>
      <c r="AN70" s="93">
        <f t="shared" si="11"/>
        <v>0</v>
      </c>
    </row>
    <row r="71" spans="1:49" s="101" customFormat="1" ht="15.75" thickBot="1" x14ac:dyDescent="0.3">
      <c r="A71"/>
      <c r="B71" s="636" t="s">
        <v>177</v>
      </c>
      <c r="C71" s="911" t="s">
        <v>275</v>
      </c>
      <c r="D71" s="912"/>
      <c r="E71" s="127">
        <v>694537.47200000007</v>
      </c>
      <c r="F71" s="128">
        <v>737976.32000000007</v>
      </c>
      <c r="G71" s="128">
        <v>766284.80000000005</v>
      </c>
      <c r="H71" s="129">
        <v>834384.76799999992</v>
      </c>
      <c r="I71" s="127">
        <v>752307.84000000008</v>
      </c>
      <c r="J71" s="128">
        <v>738472.32000000007</v>
      </c>
      <c r="K71" s="128">
        <v>845854.2080000001</v>
      </c>
      <c r="L71" s="129">
        <v>949689.21600000001</v>
      </c>
      <c r="M71" s="127">
        <v>904179.32799999998</v>
      </c>
      <c r="N71" s="128">
        <v>1127423.4880000001</v>
      </c>
      <c r="O71" s="128">
        <v>945777.02399999998</v>
      </c>
      <c r="P71" s="129">
        <v>974936.96</v>
      </c>
      <c r="Q71" s="127">
        <v>981058.304</v>
      </c>
      <c r="R71" s="128">
        <v>869270.52799999993</v>
      </c>
      <c r="S71" s="134">
        <v>870258.17599999998</v>
      </c>
      <c r="T71" s="135">
        <v>999464.06400000001</v>
      </c>
      <c r="U71" s="127">
        <v>950007.29600000009</v>
      </c>
      <c r="V71" s="82">
        <v>905424</v>
      </c>
      <c r="W71" s="82">
        <v>907173.24800000002</v>
      </c>
      <c r="X71" s="83">
        <v>1012467.9680000001</v>
      </c>
      <c r="Y71" s="127">
        <v>1040067.7120000001</v>
      </c>
      <c r="Z71" s="128">
        <v>1005640.192</v>
      </c>
      <c r="AA71" s="128">
        <v>1033904.3840000001</v>
      </c>
      <c r="AB71" s="129">
        <v>1325476.8640000001</v>
      </c>
      <c r="AC71" s="82">
        <v>1204402.432</v>
      </c>
      <c r="AD71" s="82">
        <v>1267889.0240000002</v>
      </c>
      <c r="AE71" s="82">
        <v>1330619.648</v>
      </c>
      <c r="AF71" s="82">
        <v>1567814.0160000001</v>
      </c>
      <c r="AH71" s="81">
        <f t="shared" si="5"/>
        <v>3033183.3600000003</v>
      </c>
      <c r="AI71" s="82">
        <f t="shared" si="6"/>
        <v>3286323.5840000003</v>
      </c>
      <c r="AJ71" s="82">
        <f t="shared" si="7"/>
        <v>3952316.8</v>
      </c>
      <c r="AK71" s="82">
        <f t="shared" si="8"/>
        <v>3720051.0719999997</v>
      </c>
      <c r="AL71" s="82">
        <f t="shared" si="9"/>
        <v>3775072.5120000001</v>
      </c>
      <c r="AM71" s="83">
        <f t="shared" si="10"/>
        <v>4405089.1520000007</v>
      </c>
      <c r="AN71" s="83">
        <f t="shared" si="11"/>
        <v>5370725.1200000001</v>
      </c>
    </row>
    <row r="72" spans="1:49" s="101" customFormat="1" x14ac:dyDescent="0.25">
      <c r="A72"/>
      <c r="B72" s="637" t="s">
        <v>178</v>
      </c>
      <c r="C72" s="915"/>
      <c r="D72" s="916"/>
      <c r="E72" s="121">
        <v>283507.96799999999</v>
      </c>
      <c r="F72" s="122">
        <v>291207.67999999999</v>
      </c>
      <c r="G72" s="122">
        <v>312779.90399999998</v>
      </c>
      <c r="H72" s="123">
        <v>347411.712</v>
      </c>
      <c r="I72" s="121">
        <v>296429.696</v>
      </c>
      <c r="J72" s="122">
        <v>282713.08799999999</v>
      </c>
      <c r="K72" s="122">
        <v>324083.58400000003</v>
      </c>
      <c r="L72" s="123">
        <v>361977.34399999998</v>
      </c>
      <c r="M72" s="121">
        <v>368444.8</v>
      </c>
      <c r="N72" s="122">
        <v>433415.29600000003</v>
      </c>
      <c r="O72" s="122">
        <v>386024.06400000001</v>
      </c>
      <c r="P72" s="123">
        <v>392334.848</v>
      </c>
      <c r="Q72" s="121">
        <v>402313.984</v>
      </c>
      <c r="R72" s="122">
        <v>337621.37599999999</v>
      </c>
      <c r="S72" s="136">
        <v>362695.29600000003</v>
      </c>
      <c r="T72" s="137">
        <v>418414.20799999998</v>
      </c>
      <c r="U72" s="121">
        <v>377225.85600000003</v>
      </c>
      <c r="V72" s="87">
        <v>371878.272</v>
      </c>
      <c r="W72" s="87">
        <v>368724.60800000001</v>
      </c>
      <c r="X72" s="88">
        <v>394779.26400000002</v>
      </c>
      <c r="Y72" s="121">
        <v>404160.25599999999</v>
      </c>
      <c r="Z72" s="122">
        <v>383938.81599999999</v>
      </c>
      <c r="AA72" s="122">
        <v>407163.26400000002</v>
      </c>
      <c r="AB72" s="123">
        <v>523807.61600000004</v>
      </c>
      <c r="AC72" s="87">
        <v>465741.05599999998</v>
      </c>
      <c r="AD72" s="87">
        <v>503400.70400000003</v>
      </c>
      <c r="AE72" s="87">
        <v>512316.288</v>
      </c>
      <c r="AF72" s="87">
        <v>582946.56000000006</v>
      </c>
      <c r="AH72" s="86">
        <f t="shared" si="5"/>
        <v>1234907.264</v>
      </c>
      <c r="AI72" s="87">
        <f t="shared" si="6"/>
        <v>1265203.7120000001</v>
      </c>
      <c r="AJ72" s="87">
        <f t="shared" si="7"/>
        <v>1580219.0080000001</v>
      </c>
      <c r="AK72" s="87">
        <f t="shared" si="8"/>
        <v>1521044.8640000001</v>
      </c>
      <c r="AL72" s="87">
        <f t="shared" si="9"/>
        <v>1512608</v>
      </c>
      <c r="AM72" s="88">
        <f t="shared" si="10"/>
        <v>1719069.952</v>
      </c>
      <c r="AN72" s="83">
        <f t="shared" si="11"/>
        <v>2064404.608</v>
      </c>
    </row>
    <row r="73" spans="1:49" s="101" customFormat="1" x14ac:dyDescent="0.25">
      <c r="A73"/>
      <c r="B73" s="638" t="s">
        <v>177</v>
      </c>
      <c r="C73" s="917" t="s">
        <v>276</v>
      </c>
      <c r="D73" s="918"/>
      <c r="E73" s="124">
        <v>42255.744000000006</v>
      </c>
      <c r="F73" s="125">
        <v>43206.656000000003</v>
      </c>
      <c r="G73" s="125">
        <v>40236.160000000003</v>
      </c>
      <c r="H73" s="126">
        <v>39951.743999999999</v>
      </c>
      <c r="I73" s="124">
        <v>36044.800000000003</v>
      </c>
      <c r="J73" s="125">
        <v>38470.400000000001</v>
      </c>
      <c r="K73" s="125">
        <v>42282.239999999998</v>
      </c>
      <c r="L73" s="126">
        <v>39075.072</v>
      </c>
      <c r="M73" s="124">
        <v>44215.680000000008</v>
      </c>
      <c r="N73" s="125">
        <v>42243.456000000006</v>
      </c>
      <c r="O73" s="125">
        <v>40474.880000000005</v>
      </c>
      <c r="P73" s="126">
        <v>40404.224000000002</v>
      </c>
      <c r="Q73" s="124">
        <v>39293.824000000001</v>
      </c>
      <c r="R73" s="125">
        <v>39873.408000000003</v>
      </c>
      <c r="S73" s="138">
        <v>41811.328000000001</v>
      </c>
      <c r="T73" s="139">
        <v>45242.880000000005</v>
      </c>
      <c r="U73" s="124">
        <v>44039.808000000005</v>
      </c>
      <c r="V73" s="92">
        <v>44696.320000000007</v>
      </c>
      <c r="W73" s="92">
        <v>45395.968000000001</v>
      </c>
      <c r="X73" s="93">
        <v>46104.703999999998</v>
      </c>
      <c r="Y73" s="124">
        <v>45120.127999999997</v>
      </c>
      <c r="Z73" s="125">
        <v>42239.616000000002</v>
      </c>
      <c r="AA73" s="125">
        <v>43849.472000000002</v>
      </c>
      <c r="AB73" s="126">
        <v>45319.808000000005</v>
      </c>
      <c r="AC73" s="92">
        <v>44070.528000000006</v>
      </c>
      <c r="AD73" s="92">
        <v>40603.135999999999</v>
      </c>
      <c r="AE73" s="92">
        <v>42284.160000000003</v>
      </c>
      <c r="AF73" s="92">
        <v>41630.207999999999</v>
      </c>
      <c r="AH73" s="91">
        <f t="shared" si="5"/>
        <v>165650.304</v>
      </c>
      <c r="AI73" s="92">
        <f t="shared" si="6"/>
        <v>155872.51199999999</v>
      </c>
      <c r="AJ73" s="92">
        <f t="shared" si="7"/>
        <v>167338.24000000002</v>
      </c>
      <c r="AK73" s="92">
        <f t="shared" si="8"/>
        <v>166221.44</v>
      </c>
      <c r="AL73" s="92">
        <f t="shared" si="9"/>
        <v>180236.80000000002</v>
      </c>
      <c r="AM73" s="93">
        <f t="shared" si="10"/>
        <v>176529.02400000003</v>
      </c>
      <c r="AN73" s="93">
        <f t="shared" si="11"/>
        <v>168588.03200000001</v>
      </c>
    </row>
    <row r="74" spans="1:49" s="101" customFormat="1" ht="15.75" thickBot="1" x14ac:dyDescent="0.3">
      <c r="A74"/>
      <c r="B74" s="639" t="s">
        <v>178</v>
      </c>
      <c r="C74" s="921"/>
      <c r="D74" s="922"/>
      <c r="E74" s="130">
        <v>9933.0560000000005</v>
      </c>
      <c r="F74" s="131">
        <v>9607.2960000000003</v>
      </c>
      <c r="G74" s="131">
        <v>8686.2080000000005</v>
      </c>
      <c r="H74" s="132">
        <v>10515.584000000001</v>
      </c>
      <c r="I74" s="130">
        <v>8886.7839999999997</v>
      </c>
      <c r="J74" s="131">
        <v>8473.8559999999998</v>
      </c>
      <c r="K74" s="131">
        <v>9809.2800000000007</v>
      </c>
      <c r="L74" s="132">
        <v>9253.6319999999996</v>
      </c>
      <c r="M74" s="130">
        <v>10614.272000000001</v>
      </c>
      <c r="N74" s="131">
        <v>11958.912</v>
      </c>
      <c r="O74" s="131">
        <v>10303.744000000001</v>
      </c>
      <c r="P74" s="132">
        <v>12432.64</v>
      </c>
      <c r="Q74" s="130">
        <v>10099.968000000001</v>
      </c>
      <c r="R74" s="131">
        <v>10268.032000000001</v>
      </c>
      <c r="S74" s="140">
        <v>11232.896000000001</v>
      </c>
      <c r="T74" s="141">
        <v>14164.608</v>
      </c>
      <c r="U74" s="130">
        <v>12856.832</v>
      </c>
      <c r="V74" s="97">
        <v>13641.344000000001</v>
      </c>
      <c r="W74" s="97">
        <v>14033.791999999999</v>
      </c>
      <c r="X74" s="98">
        <v>15204.352000000001</v>
      </c>
      <c r="Y74" s="130">
        <v>15600.768</v>
      </c>
      <c r="Z74" s="131">
        <v>13898.496000000001</v>
      </c>
      <c r="AA74" s="131">
        <v>14340.224</v>
      </c>
      <c r="AB74" s="132">
        <v>16706.432000000001</v>
      </c>
      <c r="AC74" s="97">
        <v>11707.648000000001</v>
      </c>
      <c r="AD74" s="97">
        <v>10426.368</v>
      </c>
      <c r="AE74" s="97">
        <v>9494.9120000000003</v>
      </c>
      <c r="AF74" s="97">
        <v>9807.4879999999994</v>
      </c>
      <c r="AH74" s="96">
        <f t="shared" si="5"/>
        <v>38742.144</v>
      </c>
      <c r="AI74" s="97">
        <f t="shared" si="6"/>
        <v>36423.551999999996</v>
      </c>
      <c r="AJ74" s="97">
        <f t="shared" si="7"/>
        <v>45309.567999999999</v>
      </c>
      <c r="AK74" s="97">
        <f t="shared" si="8"/>
        <v>45765.504000000001</v>
      </c>
      <c r="AL74" s="97">
        <f t="shared" si="9"/>
        <v>55736.32</v>
      </c>
      <c r="AM74" s="98">
        <f t="shared" si="10"/>
        <v>60545.920000000006</v>
      </c>
      <c r="AN74" s="93">
        <f t="shared" si="11"/>
        <v>41436.416000000005</v>
      </c>
    </row>
    <row r="75" spans="1:49" s="114" customFormat="1" ht="15.75" thickBot="1" x14ac:dyDescent="0.3">
      <c r="A75"/>
      <c r="B75" s="716" t="s">
        <v>173</v>
      </c>
      <c r="C75" s="717" t="s">
        <v>67</v>
      </c>
      <c r="D75" s="718" t="s">
        <v>32</v>
      </c>
      <c r="E75" s="719"/>
      <c r="F75" s="720"/>
      <c r="G75" s="720"/>
      <c r="H75" s="721"/>
      <c r="I75" s="719"/>
      <c r="J75" s="720"/>
      <c r="K75" s="720"/>
      <c r="L75" s="721"/>
      <c r="M75" s="719"/>
      <c r="N75" s="720"/>
      <c r="O75" s="720"/>
      <c r="P75" s="721"/>
      <c r="Q75" s="719">
        <f>H88</f>
        <v>24</v>
      </c>
      <c r="R75" s="720"/>
      <c r="S75" s="722"/>
      <c r="T75" s="723"/>
      <c r="U75" s="719">
        <f>I88</f>
        <v>461</v>
      </c>
      <c r="V75" s="143"/>
      <c r="W75" s="143"/>
      <c r="X75" s="144"/>
      <c r="Y75" s="142">
        <f>J88</f>
        <v>203</v>
      </c>
      <c r="Z75" s="143"/>
      <c r="AA75" s="143"/>
      <c r="AB75" s="144"/>
      <c r="AC75" s="142">
        <f>J89</f>
        <v>0</v>
      </c>
      <c r="AD75" s="143"/>
      <c r="AE75" s="143"/>
      <c r="AF75" s="144"/>
      <c r="AH75" s="142"/>
      <c r="AI75" s="143"/>
      <c r="AJ75" s="143"/>
      <c r="AK75" s="143">
        <f t="shared" ref="AK75:AK76" si="12">SUM(Q75:T75)</f>
        <v>24</v>
      </c>
      <c r="AL75" s="143">
        <f t="shared" ref="AL75:AL76" si="13">SUM(U75:X75)</f>
        <v>461</v>
      </c>
      <c r="AM75" s="144">
        <f>SUM(V75:Y75)</f>
        <v>203</v>
      </c>
      <c r="AN75" s="144">
        <v>0</v>
      </c>
    </row>
    <row r="76" spans="1:49" s="114" customFormat="1" ht="15.75" thickBot="1" x14ac:dyDescent="0.3">
      <c r="A76"/>
      <c r="B76" s="716" t="s">
        <v>176</v>
      </c>
      <c r="C76" s="717"/>
      <c r="D76" s="718"/>
      <c r="E76" s="719">
        <f>0.1%*E28*1000/4</f>
        <v>5217.6699374999989</v>
      </c>
      <c r="F76" s="720">
        <f>E76</f>
        <v>5217.6699374999989</v>
      </c>
      <c r="G76" s="720">
        <f t="shared" ref="G76:H76" si="14">F76</f>
        <v>5217.6699374999989</v>
      </c>
      <c r="H76" s="721">
        <f t="shared" si="14"/>
        <v>5217.6699374999989</v>
      </c>
      <c r="I76" s="719">
        <f>0.1%*F28*1000/4</f>
        <v>5174.9576275000009</v>
      </c>
      <c r="J76" s="720">
        <f>I76</f>
        <v>5174.9576275000009</v>
      </c>
      <c r="K76" s="720">
        <f t="shared" ref="K76:L76" si="15">J76</f>
        <v>5174.9576275000009</v>
      </c>
      <c r="L76" s="721">
        <f t="shared" si="15"/>
        <v>5174.9576275000009</v>
      </c>
      <c r="M76" s="719">
        <f>0.1%*G28*1000/4</f>
        <v>5165.4201200000025</v>
      </c>
      <c r="N76" s="720">
        <f>M76</f>
        <v>5165.4201200000025</v>
      </c>
      <c r="O76" s="720">
        <f t="shared" ref="O76:P76" si="16">N76</f>
        <v>5165.4201200000025</v>
      </c>
      <c r="P76" s="721">
        <f t="shared" si="16"/>
        <v>5165.4201200000025</v>
      </c>
      <c r="Q76" s="719">
        <f>0.1%*H28*1000/4</f>
        <v>5143.5577199999998</v>
      </c>
      <c r="R76" s="720">
        <f>Q76</f>
        <v>5143.5577199999998</v>
      </c>
      <c r="S76" s="722">
        <f t="shared" ref="S76:T76" si="17">R76</f>
        <v>5143.5577199999998</v>
      </c>
      <c r="T76" s="723">
        <f t="shared" si="17"/>
        <v>5143.5577199999998</v>
      </c>
      <c r="U76" s="719">
        <f>0.1%*I28*1000/4</f>
        <v>5171.25</v>
      </c>
      <c r="V76" s="143">
        <f>U76</f>
        <v>5171.25</v>
      </c>
      <c r="W76" s="143">
        <f t="shared" ref="W76:X76" si="18">V76</f>
        <v>5171.25</v>
      </c>
      <c r="X76" s="144">
        <f t="shared" si="18"/>
        <v>5171.25</v>
      </c>
      <c r="Y76" s="142">
        <f>0.1%*J28*1000/4</f>
        <v>5041.5</v>
      </c>
      <c r="Z76" s="143">
        <f>Y76</f>
        <v>5041.5</v>
      </c>
      <c r="AA76" s="143">
        <f t="shared" ref="AA76" si="19">Z76</f>
        <v>5041.5</v>
      </c>
      <c r="AB76" s="144">
        <f>AA76</f>
        <v>5041.5</v>
      </c>
      <c r="AC76" s="142">
        <f>0.1%*K28*1000/4</f>
        <v>4948</v>
      </c>
      <c r="AD76" s="144">
        <f t="shared" ref="AD76:AF76" si="20">AC76</f>
        <v>4948</v>
      </c>
      <c r="AE76" s="144">
        <f t="shared" si="20"/>
        <v>4948</v>
      </c>
      <c r="AF76" s="144">
        <f t="shared" si="20"/>
        <v>4948</v>
      </c>
      <c r="AH76" s="142">
        <f>SUM(E76:H76)</f>
        <v>20870.679749999996</v>
      </c>
      <c r="AI76" s="143">
        <f>SUM(I76:L76)</f>
        <v>20699.830510000003</v>
      </c>
      <c r="AJ76" s="143">
        <f>SUM(M76:P76)</f>
        <v>20661.68048000001</v>
      </c>
      <c r="AK76" s="143">
        <f t="shared" si="12"/>
        <v>20574.230879999999</v>
      </c>
      <c r="AL76" s="143">
        <f t="shared" si="13"/>
        <v>20685</v>
      </c>
      <c r="AM76" s="144">
        <f>SUM(Y76:AB76)</f>
        <v>20166</v>
      </c>
      <c r="AN76" s="144">
        <f>SUM(AC76:AF76)</f>
        <v>19792</v>
      </c>
    </row>
    <row r="77" spans="1:49" x14ac:dyDescent="0.25">
      <c r="B77" s="724" t="s">
        <v>146</v>
      </c>
      <c r="C77" s="725"/>
      <c r="D77" s="725"/>
      <c r="E77" s="726"/>
      <c r="F77" s="726"/>
      <c r="G77" s="726"/>
      <c r="H77" s="726"/>
      <c r="I77" s="726"/>
      <c r="J77" s="726"/>
      <c r="K77" s="726"/>
      <c r="L77" s="726"/>
      <c r="M77" s="726"/>
      <c r="N77" s="726"/>
      <c r="O77" s="726"/>
      <c r="P77" s="726"/>
      <c r="Q77" s="726"/>
      <c r="R77" s="726"/>
      <c r="S77" s="726"/>
      <c r="T77" s="726"/>
      <c r="U77" s="726"/>
      <c r="V77" s="71"/>
      <c r="W77" s="71"/>
      <c r="X77" s="71"/>
    </row>
    <row r="78" spans="1:49" x14ac:dyDescent="0.25">
      <c r="B78" s="568"/>
      <c r="C78" s="568"/>
      <c r="D78" s="568"/>
      <c r="E78" s="568"/>
      <c r="F78" s="568"/>
      <c r="G78" s="568"/>
      <c r="H78" s="568"/>
      <c r="I78" s="568"/>
      <c r="J78" s="568"/>
      <c r="K78" s="568"/>
      <c r="L78" s="568"/>
      <c r="M78" s="568"/>
      <c r="N78" s="568"/>
      <c r="O78" s="568"/>
      <c r="P78" s="568"/>
      <c r="Q78" s="568"/>
      <c r="R78" s="568"/>
      <c r="S78" s="568"/>
      <c r="T78" s="568"/>
      <c r="U78" s="568"/>
    </row>
    <row r="79" spans="1:49" x14ac:dyDescent="0.25">
      <c r="B79" s="572" t="s">
        <v>185</v>
      </c>
      <c r="C79" s="568"/>
      <c r="D79" s="568"/>
      <c r="E79" s="568"/>
      <c r="F79" s="568"/>
      <c r="G79" s="568"/>
      <c r="H79" s="568"/>
      <c r="I79" s="568"/>
      <c r="J79" s="568"/>
      <c r="K79" s="568"/>
      <c r="L79" s="568"/>
      <c r="M79" s="568"/>
      <c r="N79" s="568"/>
      <c r="O79" s="568"/>
      <c r="P79" s="568"/>
      <c r="Q79" s="568"/>
      <c r="R79" s="568"/>
      <c r="S79" s="568"/>
      <c r="T79" s="568"/>
      <c r="U79" s="568"/>
      <c r="Y79" s="396"/>
    </row>
    <row r="80" spans="1:49" x14ac:dyDescent="0.25">
      <c r="B80" s="572" t="s">
        <v>184</v>
      </c>
      <c r="C80" s="568"/>
      <c r="D80" s="568"/>
      <c r="E80" s="568"/>
      <c r="F80" s="568"/>
      <c r="G80" s="568"/>
      <c r="H80" s="568"/>
      <c r="I80" s="568"/>
      <c r="J80" s="568"/>
      <c r="K80" s="568"/>
      <c r="L80" s="568"/>
      <c r="M80" s="568"/>
      <c r="N80" s="568"/>
      <c r="O80" s="568"/>
      <c r="P80" s="568"/>
      <c r="Q80" s="568"/>
      <c r="R80" s="568"/>
      <c r="S80" s="568"/>
      <c r="T80" s="568"/>
      <c r="U80" s="568"/>
      <c r="Y80" s="365"/>
    </row>
    <row r="81" spans="1:25" x14ac:dyDescent="0.25">
      <c r="B81" s="980" t="s">
        <v>186</v>
      </c>
      <c r="C81" s="980"/>
      <c r="D81" s="980"/>
      <c r="E81" s="980"/>
      <c r="F81" s="980"/>
      <c r="G81" s="980"/>
      <c r="H81" s="980"/>
      <c r="I81" s="980"/>
      <c r="J81" s="568"/>
      <c r="K81" s="568"/>
      <c r="L81" s="568"/>
      <c r="M81" s="568"/>
      <c r="N81" s="568"/>
      <c r="O81" s="568"/>
      <c r="P81" s="568"/>
      <c r="Q81" s="568"/>
      <c r="R81" s="568"/>
      <c r="S81" s="568"/>
      <c r="T81" s="568"/>
      <c r="U81" s="568"/>
      <c r="Y81" s="439"/>
    </row>
    <row r="82" spans="1:25" x14ac:dyDescent="0.25">
      <c r="B82" s="641" t="s">
        <v>187</v>
      </c>
      <c r="C82" s="641"/>
      <c r="D82" s="641"/>
      <c r="E82" s="641"/>
      <c r="F82" s="641"/>
      <c r="G82" s="641"/>
      <c r="H82" s="641"/>
      <c r="I82" s="641"/>
      <c r="J82" s="568"/>
      <c r="K82" s="568"/>
      <c r="L82" s="568"/>
      <c r="M82" s="568"/>
      <c r="N82" s="568"/>
      <c r="O82" s="568"/>
      <c r="P82" s="568"/>
      <c r="Q82" s="568"/>
      <c r="R82" s="568"/>
      <c r="S82" s="568"/>
      <c r="T82" s="568"/>
      <c r="U82" s="568"/>
    </row>
    <row r="83" spans="1:25" x14ac:dyDescent="0.25">
      <c r="B83" s="568"/>
      <c r="C83" s="568"/>
      <c r="D83" s="568"/>
      <c r="E83" s="568"/>
      <c r="F83" s="568"/>
      <c r="G83" s="568"/>
      <c r="H83" s="568"/>
      <c r="I83" s="568"/>
      <c r="J83" s="568"/>
      <c r="K83" s="568"/>
      <c r="L83" s="568"/>
      <c r="M83" s="568"/>
      <c r="N83" s="568"/>
      <c r="O83" s="568"/>
      <c r="P83" s="568"/>
      <c r="Q83" s="568"/>
      <c r="R83" s="568"/>
      <c r="S83" s="568"/>
      <c r="T83" s="568"/>
      <c r="U83" s="568"/>
    </row>
    <row r="84" spans="1:25" x14ac:dyDescent="0.25">
      <c r="B84" s="582" t="s">
        <v>227</v>
      </c>
      <c r="C84" s="568"/>
      <c r="D84" s="568"/>
      <c r="E84" s="568"/>
      <c r="F84" s="568"/>
      <c r="G84" s="568"/>
      <c r="H84" s="572"/>
      <c r="I84" s="572"/>
      <c r="J84" s="572"/>
      <c r="K84" s="572"/>
      <c r="L84" s="572"/>
      <c r="M84" s="572"/>
      <c r="N84" s="568"/>
      <c r="O84" s="568"/>
      <c r="P84" s="568"/>
      <c r="Q84" s="568"/>
      <c r="R84" s="568"/>
      <c r="S84" s="568"/>
      <c r="T84" s="568"/>
      <c r="U84" s="568"/>
    </row>
    <row r="85" spans="1:25" ht="15.75" thickBot="1" x14ac:dyDescent="0.3">
      <c r="B85" s="568"/>
      <c r="C85" s="568"/>
      <c r="D85" s="568"/>
      <c r="E85" s="568"/>
      <c r="F85" s="568"/>
      <c r="G85" s="568"/>
      <c r="H85" s="572"/>
      <c r="I85" s="572"/>
      <c r="J85" s="572"/>
      <c r="K85" s="572"/>
      <c r="L85" s="572"/>
      <c r="M85" s="572"/>
      <c r="N85" s="568"/>
      <c r="O85" s="568"/>
      <c r="P85" s="568"/>
      <c r="Q85" s="568"/>
      <c r="R85" s="568"/>
      <c r="S85" s="568"/>
      <c r="T85" s="568"/>
      <c r="U85" s="568"/>
    </row>
    <row r="86" spans="1:25" ht="15.75" thickBot="1" x14ac:dyDescent="0.3">
      <c r="A86" s="48" t="s">
        <v>75</v>
      </c>
      <c r="B86" s="727" t="s">
        <v>76</v>
      </c>
      <c r="C86" s="727" t="s">
        <v>77</v>
      </c>
      <c r="D86" s="728"/>
      <c r="E86" s="497">
        <v>2014</v>
      </c>
      <c r="F86" s="494">
        <v>2015</v>
      </c>
      <c r="G86" s="498">
        <v>2016</v>
      </c>
      <c r="H86" s="518">
        <v>2017</v>
      </c>
      <c r="I86" s="519">
        <v>2018</v>
      </c>
      <c r="J86" s="519">
        <v>2019</v>
      </c>
      <c r="K86" s="519">
        <v>2020</v>
      </c>
      <c r="L86" s="572"/>
      <c r="M86" s="572"/>
      <c r="N86" s="572"/>
      <c r="O86" s="572"/>
      <c r="P86" s="572"/>
      <c r="Q86" s="572"/>
      <c r="R86" s="572"/>
      <c r="S86" s="572"/>
      <c r="T86" s="572"/>
      <c r="U86" s="572"/>
    </row>
    <row r="87" spans="1:25" x14ac:dyDescent="0.25">
      <c r="A87" s="986" t="s">
        <v>91</v>
      </c>
      <c r="B87" s="989" t="s">
        <v>92</v>
      </c>
      <c r="C87" s="992" t="s">
        <v>85</v>
      </c>
      <c r="D87" s="729" t="s">
        <v>229</v>
      </c>
      <c r="E87" s="730"/>
      <c r="F87" s="731"/>
      <c r="G87" s="732"/>
      <c r="H87" s="733">
        <v>5014</v>
      </c>
      <c r="I87" s="669">
        <v>30549</v>
      </c>
      <c r="J87" s="669">
        <v>43049</v>
      </c>
      <c r="K87" s="734">
        <v>55549</v>
      </c>
      <c r="L87" s="572"/>
      <c r="M87" s="572"/>
      <c r="N87" s="568"/>
      <c r="O87" s="568"/>
      <c r="P87" s="568"/>
      <c r="Q87" s="568"/>
      <c r="R87" s="568"/>
      <c r="S87" s="568"/>
      <c r="T87" s="568"/>
      <c r="U87" s="568"/>
    </row>
    <row r="88" spans="1:25" x14ac:dyDescent="0.25">
      <c r="A88" s="987"/>
      <c r="B88" s="990"/>
      <c r="C88" s="993"/>
      <c r="D88" s="735" t="s">
        <v>160</v>
      </c>
      <c r="E88" s="736"/>
      <c r="F88" s="737"/>
      <c r="G88" s="738"/>
      <c r="H88" s="739">
        <v>24</v>
      </c>
      <c r="I88" s="667">
        <v>461</v>
      </c>
      <c r="J88" s="667">
        <v>203</v>
      </c>
      <c r="K88" s="667">
        <v>0</v>
      </c>
      <c r="L88" s="572"/>
      <c r="M88" s="572"/>
      <c r="N88" s="568"/>
      <c r="O88" s="568"/>
      <c r="P88" s="568"/>
      <c r="Q88" s="568"/>
      <c r="R88" s="568"/>
      <c r="S88" s="568"/>
      <c r="T88" s="568"/>
      <c r="U88" s="568"/>
    </row>
    <row r="89" spans="1:25" ht="15.75" thickBot="1" x14ac:dyDescent="0.3">
      <c r="A89" s="988"/>
      <c r="B89" s="991"/>
      <c r="C89" s="994"/>
      <c r="D89" s="740" t="s">
        <v>161</v>
      </c>
      <c r="E89" s="741"/>
      <c r="F89" s="742"/>
      <c r="G89" s="743"/>
      <c r="H89" s="744">
        <v>0</v>
      </c>
      <c r="I89" s="668">
        <v>0</v>
      </c>
      <c r="J89" s="668">
        <v>0</v>
      </c>
      <c r="K89" s="668">
        <v>0</v>
      </c>
      <c r="L89" s="572"/>
      <c r="M89" s="572"/>
      <c r="N89" s="568"/>
      <c r="O89" s="568"/>
      <c r="P89" s="568"/>
      <c r="Q89" s="568"/>
      <c r="R89" s="568"/>
      <c r="S89" s="568"/>
      <c r="T89" s="568"/>
      <c r="U89" s="568"/>
    </row>
    <row r="90" spans="1:25" x14ac:dyDescent="0.25">
      <c r="B90" s="568"/>
      <c r="C90" s="568"/>
      <c r="D90" s="568"/>
      <c r="E90" s="568"/>
      <c r="F90" s="568"/>
      <c r="G90" s="568"/>
      <c r="H90" s="572"/>
      <c r="I90" s="572"/>
      <c r="J90" s="572"/>
      <c r="K90" s="572"/>
      <c r="L90" s="572"/>
      <c r="M90" s="572"/>
      <c r="N90" s="568"/>
      <c r="O90" s="568"/>
      <c r="P90" s="568"/>
      <c r="Q90" s="568"/>
      <c r="R90" s="568"/>
      <c r="S90" s="568"/>
      <c r="T90" s="568"/>
      <c r="U90" s="568"/>
    </row>
    <row r="91" spans="1:25" x14ac:dyDescent="0.25">
      <c r="A91" s="68"/>
      <c r="B91" s="745" t="s">
        <v>213</v>
      </c>
      <c r="C91" s="746"/>
      <c r="D91" s="746"/>
      <c r="E91" s="572"/>
      <c r="F91" s="572"/>
      <c r="G91" s="572"/>
      <c r="H91" s="572"/>
      <c r="I91" s="572"/>
      <c r="J91" s="572"/>
      <c r="K91" s="572"/>
      <c r="L91" s="572"/>
      <c r="M91" s="572"/>
      <c r="N91" s="572"/>
      <c r="O91" s="572"/>
      <c r="P91" s="572"/>
      <c r="Q91" s="572"/>
      <c r="R91" s="568"/>
      <c r="S91" s="568"/>
      <c r="T91" s="568"/>
      <c r="U91" s="568"/>
    </row>
    <row r="92" spans="1:25" ht="15.75" thickBot="1" x14ac:dyDescent="0.3">
      <c r="A92" s="68"/>
      <c r="B92" s="747"/>
      <c r="C92" s="746"/>
      <c r="D92" s="746"/>
      <c r="E92" s="572"/>
      <c r="F92" s="572"/>
      <c r="G92" s="572"/>
      <c r="H92" s="572"/>
      <c r="I92" s="572"/>
      <c r="J92" s="572"/>
      <c r="K92" s="572"/>
      <c r="L92" s="572"/>
      <c r="M92" s="572"/>
      <c r="N92" s="572"/>
      <c r="O92" s="572"/>
      <c r="P92" s="572"/>
      <c r="Q92" s="572"/>
      <c r="R92" s="568"/>
      <c r="S92" s="568"/>
      <c r="T92" s="568"/>
      <c r="U92" s="568"/>
    </row>
    <row r="93" spans="1:25" ht="15.75" thickBot="1" x14ac:dyDescent="0.3">
      <c r="A93" s="250" t="s">
        <v>75</v>
      </c>
      <c r="B93" s="748" t="s">
        <v>76</v>
      </c>
      <c r="C93" s="748" t="s">
        <v>77</v>
      </c>
      <c r="D93" s="749"/>
      <c r="E93" s="750"/>
      <c r="F93" s="751"/>
      <c r="G93" s="751"/>
      <c r="H93" s="655" t="s">
        <v>115</v>
      </c>
      <c r="I93" s="656" t="s">
        <v>214</v>
      </c>
      <c r="J93" s="519" t="s">
        <v>117</v>
      </c>
      <c r="K93" s="519" t="s">
        <v>215</v>
      </c>
      <c r="L93" s="655" t="s">
        <v>216</v>
      </c>
      <c r="M93" s="518" t="s">
        <v>217</v>
      </c>
      <c r="N93" s="519" t="s">
        <v>218</v>
      </c>
      <c r="O93" s="519" t="s">
        <v>219</v>
      </c>
      <c r="P93" s="520" t="s">
        <v>220</v>
      </c>
      <c r="Q93" s="518" t="s">
        <v>348</v>
      </c>
      <c r="R93" s="519" t="s">
        <v>349</v>
      </c>
      <c r="S93" s="519" t="s">
        <v>350</v>
      </c>
      <c r="T93" s="520" t="s">
        <v>351</v>
      </c>
      <c r="U93" s="568"/>
    </row>
    <row r="94" spans="1:25" x14ac:dyDescent="0.25">
      <c r="A94" s="995" t="s">
        <v>91</v>
      </c>
      <c r="B94" s="997" t="s">
        <v>92</v>
      </c>
      <c r="C94" s="999" t="s">
        <v>85</v>
      </c>
      <c r="D94" s="729" t="s">
        <v>264</v>
      </c>
      <c r="E94" s="752"/>
      <c r="F94" s="669"/>
      <c r="G94" s="669"/>
      <c r="H94" s="523">
        <v>24</v>
      </c>
      <c r="I94" s="526">
        <v>40</v>
      </c>
      <c r="J94" s="522">
        <v>113</v>
      </c>
      <c r="K94" s="522">
        <v>110</v>
      </c>
      <c r="L94" s="523">
        <v>198</v>
      </c>
      <c r="M94" s="521">
        <v>75</v>
      </c>
      <c r="N94" s="522">
        <v>0</v>
      </c>
      <c r="O94" s="522">
        <v>0</v>
      </c>
      <c r="P94" s="523">
        <v>128</v>
      </c>
      <c r="Q94" s="521">
        <v>0</v>
      </c>
      <c r="R94" s="522">
        <v>0</v>
      </c>
      <c r="S94" s="522">
        <v>0</v>
      </c>
      <c r="T94" s="523">
        <v>0</v>
      </c>
      <c r="U94" s="568"/>
      <c r="V94" s="365"/>
    </row>
    <row r="95" spans="1:25" ht="15.75" thickBot="1" x14ac:dyDescent="0.3">
      <c r="A95" s="996"/>
      <c r="B95" s="998"/>
      <c r="C95" s="1000"/>
      <c r="D95" s="753" t="s">
        <v>265</v>
      </c>
      <c r="E95" s="754"/>
      <c r="F95" s="668"/>
      <c r="G95" s="668"/>
      <c r="H95" s="368">
        <v>0</v>
      </c>
      <c r="I95" s="527">
        <v>0</v>
      </c>
      <c r="J95" s="525">
        <v>0</v>
      </c>
      <c r="K95" s="525">
        <v>0</v>
      </c>
      <c r="L95" s="368">
        <v>0</v>
      </c>
      <c r="M95" s="524">
        <v>0</v>
      </c>
      <c r="N95" s="525">
        <v>0</v>
      </c>
      <c r="O95" s="525">
        <v>0</v>
      </c>
      <c r="P95" s="369">
        <v>0</v>
      </c>
      <c r="Q95" s="524">
        <v>0</v>
      </c>
      <c r="R95" s="525">
        <v>0</v>
      </c>
      <c r="S95" s="525">
        <v>0</v>
      </c>
      <c r="T95" s="369">
        <v>0</v>
      </c>
      <c r="U95" s="568"/>
      <c r="V95" s="365"/>
    </row>
    <row r="96" spans="1:25" x14ac:dyDescent="0.25">
      <c r="B96" s="568"/>
      <c r="C96" s="568"/>
      <c r="D96" s="568"/>
      <c r="E96" s="568"/>
      <c r="F96" s="568"/>
      <c r="G96" s="568"/>
      <c r="H96" s="568"/>
      <c r="I96" s="568"/>
      <c r="J96" s="568"/>
      <c r="K96" s="568"/>
      <c r="L96" s="568"/>
      <c r="M96" s="568"/>
      <c r="N96" s="568"/>
      <c r="O96" s="568"/>
      <c r="P96" s="568"/>
      <c r="Q96" s="568"/>
      <c r="R96" s="568"/>
      <c r="S96" s="568"/>
      <c r="T96" s="568"/>
      <c r="U96" s="568"/>
    </row>
    <row r="97" spans="1:21" s="8" customFormat="1" x14ac:dyDescent="0.25">
      <c r="B97" s="568"/>
      <c r="C97" s="568"/>
      <c r="D97" s="568"/>
      <c r="E97" s="568"/>
      <c r="F97" s="568"/>
      <c r="G97" s="568"/>
      <c r="H97" s="568"/>
      <c r="I97" s="568"/>
      <c r="J97" s="568"/>
      <c r="K97" s="568"/>
      <c r="L97" s="568"/>
      <c r="M97" s="568"/>
      <c r="N97" s="568"/>
      <c r="O97" s="568"/>
      <c r="P97" s="568"/>
      <c r="Q97" s="568"/>
      <c r="R97" s="568"/>
      <c r="S97" s="568"/>
      <c r="T97" s="568"/>
      <c r="U97" s="568"/>
    </row>
    <row r="98" spans="1:21" s="8" customFormat="1" x14ac:dyDescent="0.25">
      <c r="B98" s="582" t="s">
        <v>228</v>
      </c>
      <c r="C98" s="568"/>
      <c r="D98" s="568"/>
      <c r="E98" s="568"/>
      <c r="F98" s="568"/>
      <c r="G98" s="568"/>
      <c r="H98" s="568"/>
      <c r="I98" s="568"/>
      <c r="J98" s="568"/>
      <c r="K98" s="568"/>
      <c r="L98" s="568"/>
      <c r="M98" s="568"/>
      <c r="N98" s="568"/>
      <c r="O98" s="568"/>
      <c r="P98" s="568"/>
      <c r="Q98" s="568"/>
      <c r="R98" s="568"/>
      <c r="S98" s="568"/>
      <c r="T98" s="568"/>
      <c r="U98" s="568"/>
    </row>
    <row r="99" spans="1:21" s="8" customFormat="1" ht="15.75" thickBot="1" x14ac:dyDescent="0.3">
      <c r="B99" s="582"/>
      <c r="C99" s="568"/>
      <c r="D99" s="568"/>
      <c r="E99" s="568"/>
      <c r="F99" s="568"/>
      <c r="G99" s="568"/>
      <c r="H99" s="568"/>
      <c r="I99" s="568"/>
      <c r="J99" s="568"/>
      <c r="K99" s="568"/>
      <c r="L99" s="568"/>
      <c r="M99" s="568"/>
      <c r="N99" s="568"/>
      <c r="O99" s="568"/>
      <c r="P99" s="568"/>
      <c r="Q99" s="568"/>
      <c r="R99" s="568"/>
      <c r="S99" s="568"/>
      <c r="T99" s="568"/>
      <c r="U99" s="568"/>
    </row>
    <row r="100" spans="1:21" s="8" customFormat="1" ht="15.75" thickBot="1" x14ac:dyDescent="0.3">
      <c r="A100" s="481" t="s">
        <v>75</v>
      </c>
      <c r="B100" s="727" t="s">
        <v>76</v>
      </c>
      <c r="C100" s="727" t="s">
        <v>77</v>
      </c>
      <c r="D100" s="755"/>
      <c r="E100" s="756">
        <v>2014</v>
      </c>
      <c r="F100" s="757">
        <v>2015</v>
      </c>
      <c r="G100" s="757">
        <v>2016</v>
      </c>
      <c r="H100" s="757">
        <v>2017</v>
      </c>
      <c r="I100" s="757">
        <v>2018</v>
      </c>
      <c r="J100" s="758">
        <v>2019</v>
      </c>
      <c r="K100" s="757">
        <v>2020</v>
      </c>
      <c r="L100" s="568"/>
      <c r="M100" s="568"/>
      <c r="N100" s="568"/>
      <c r="O100" s="568"/>
      <c r="P100" s="568"/>
      <c r="Q100" s="568"/>
      <c r="R100" s="568"/>
      <c r="S100" s="568"/>
      <c r="T100" s="568"/>
      <c r="U100" s="568"/>
    </row>
    <row r="101" spans="1:21" s="8" customFormat="1" ht="15.75" thickBot="1" x14ac:dyDescent="0.3">
      <c r="A101" s="981" t="s">
        <v>150</v>
      </c>
      <c r="B101" s="984" t="s">
        <v>151</v>
      </c>
      <c r="C101" s="985" t="s">
        <v>85</v>
      </c>
      <c r="D101" s="759" t="s">
        <v>152</v>
      </c>
      <c r="E101" s="760">
        <v>35265</v>
      </c>
      <c r="F101" s="761">
        <v>35265</v>
      </c>
      <c r="G101" s="761">
        <v>35265</v>
      </c>
      <c r="H101" s="762">
        <v>35265</v>
      </c>
      <c r="I101" s="762">
        <v>35265</v>
      </c>
      <c r="J101" s="763">
        <v>35265</v>
      </c>
      <c r="K101" s="764">
        <v>35265</v>
      </c>
      <c r="L101" s="568"/>
      <c r="M101" s="568"/>
      <c r="N101" s="568"/>
      <c r="O101" s="568"/>
      <c r="P101" s="568"/>
      <c r="Q101" s="568"/>
      <c r="R101" s="568"/>
      <c r="S101" s="568"/>
      <c r="T101" s="568"/>
      <c r="U101" s="568"/>
    </row>
    <row r="102" spans="1:21" s="8" customFormat="1" ht="15.75" thickBot="1" x14ac:dyDescent="0.3">
      <c r="A102" s="982"/>
      <c r="B102" s="984"/>
      <c r="C102" s="985"/>
      <c r="D102" s="765" t="s">
        <v>162</v>
      </c>
      <c r="E102" s="766"/>
      <c r="F102" s="767"/>
      <c r="G102" s="767"/>
      <c r="H102" s="768"/>
      <c r="I102" s="768"/>
      <c r="J102" s="769"/>
      <c r="K102" s="770"/>
      <c r="L102" s="568"/>
      <c r="M102" s="568"/>
      <c r="N102" s="568"/>
      <c r="O102" s="568"/>
      <c r="P102" s="568"/>
      <c r="Q102" s="568"/>
      <c r="R102" s="568"/>
      <c r="S102" s="568"/>
      <c r="T102" s="568"/>
      <c r="U102" s="568"/>
    </row>
    <row r="103" spans="1:21" s="8" customFormat="1" ht="15.75" thickBot="1" x14ac:dyDescent="0.3">
      <c r="A103" s="983"/>
      <c r="B103" s="984"/>
      <c r="C103" s="985"/>
      <c r="D103" s="771" t="s">
        <v>163</v>
      </c>
      <c r="E103" s="772">
        <v>0</v>
      </c>
      <c r="F103" s="772">
        <v>0</v>
      </c>
      <c r="G103" s="772">
        <v>0</v>
      </c>
      <c r="H103" s="773">
        <v>0</v>
      </c>
      <c r="I103" s="773">
        <v>0</v>
      </c>
      <c r="J103" s="774">
        <v>0</v>
      </c>
      <c r="K103" s="775"/>
      <c r="L103" s="568"/>
      <c r="M103" s="568"/>
      <c r="N103" s="568"/>
      <c r="O103" s="568"/>
      <c r="P103" s="568"/>
      <c r="Q103" s="568"/>
      <c r="R103" s="568"/>
      <c r="S103" s="568"/>
      <c r="T103" s="568"/>
      <c r="U103" s="568"/>
    </row>
    <row r="104" spans="1:21" s="8" customFormat="1" ht="15.75" thickBot="1" x14ac:dyDescent="0.3">
      <c r="A104" s="1007" t="s">
        <v>153</v>
      </c>
      <c r="B104" s="1008" t="s">
        <v>154</v>
      </c>
      <c r="C104" s="1006" t="s">
        <v>79</v>
      </c>
      <c r="D104" s="776" t="s">
        <v>152</v>
      </c>
      <c r="E104" s="777">
        <v>5000</v>
      </c>
      <c r="F104" s="778">
        <v>5000</v>
      </c>
      <c r="G104" s="778">
        <v>5000</v>
      </c>
      <c r="H104" s="764">
        <v>5000</v>
      </c>
      <c r="I104" s="764">
        <v>5000</v>
      </c>
      <c r="J104" s="779">
        <v>5000</v>
      </c>
      <c r="K104" s="790">
        <v>5000</v>
      </c>
      <c r="L104" s="568"/>
      <c r="M104" s="568"/>
      <c r="N104" s="568"/>
      <c r="O104" s="568"/>
      <c r="P104" s="568"/>
      <c r="Q104" s="568"/>
      <c r="R104" s="568"/>
      <c r="S104" s="568"/>
      <c r="T104" s="568"/>
      <c r="U104" s="568"/>
    </row>
    <row r="105" spans="1:21" s="8" customFormat="1" ht="45.75" thickBot="1" x14ac:dyDescent="0.3">
      <c r="A105" s="1007"/>
      <c r="B105" s="1008"/>
      <c r="C105" s="1006"/>
      <c r="D105" s="780" t="s">
        <v>164</v>
      </c>
      <c r="E105" s="781" t="s">
        <v>155</v>
      </c>
      <c r="F105" s="782">
        <v>2.5</v>
      </c>
      <c r="G105" s="782">
        <v>0.5</v>
      </c>
      <c r="H105" s="783">
        <v>0</v>
      </c>
      <c r="I105" s="783">
        <v>0</v>
      </c>
      <c r="J105" s="784">
        <v>0</v>
      </c>
      <c r="K105" s="791">
        <v>0</v>
      </c>
      <c r="L105" s="568"/>
      <c r="M105" s="568"/>
      <c r="N105" s="568"/>
      <c r="O105" s="568"/>
      <c r="P105" s="568"/>
      <c r="Q105" s="568"/>
      <c r="R105" s="568"/>
      <c r="S105" s="568"/>
      <c r="T105" s="568"/>
      <c r="U105" s="568"/>
    </row>
    <row r="106" spans="1:21" s="8" customFormat="1" ht="15.75" thickBot="1" x14ac:dyDescent="0.3">
      <c r="A106" s="1007"/>
      <c r="B106" s="1008"/>
      <c r="C106" s="1006"/>
      <c r="D106" s="785" t="s">
        <v>163</v>
      </c>
      <c r="E106" s="786">
        <v>0</v>
      </c>
      <c r="F106" s="786">
        <v>0</v>
      </c>
      <c r="G106" s="786">
        <v>0</v>
      </c>
      <c r="H106" s="787">
        <v>0</v>
      </c>
      <c r="I106" s="787">
        <v>0</v>
      </c>
      <c r="J106" s="788">
        <v>0</v>
      </c>
      <c r="K106" s="792">
        <v>0</v>
      </c>
      <c r="L106" s="568"/>
      <c r="M106" s="568"/>
      <c r="N106" s="568"/>
      <c r="O106" s="568"/>
      <c r="P106" s="568"/>
      <c r="Q106" s="568"/>
      <c r="R106" s="568"/>
      <c r="S106" s="568"/>
      <c r="T106" s="568"/>
      <c r="U106" s="568"/>
    </row>
    <row r="107" spans="1:21" s="8" customFormat="1" ht="15.75" thickBot="1" x14ac:dyDescent="0.3">
      <c r="A107" s="1007" t="s">
        <v>156</v>
      </c>
      <c r="B107" s="1008" t="s">
        <v>157</v>
      </c>
      <c r="C107" s="1006" t="s">
        <v>79</v>
      </c>
      <c r="D107" s="776" t="s">
        <v>152</v>
      </c>
      <c r="E107" s="789">
        <v>6135</v>
      </c>
      <c r="F107" s="790">
        <v>6135</v>
      </c>
      <c r="G107" s="790">
        <v>6135</v>
      </c>
      <c r="H107" s="790">
        <v>6135</v>
      </c>
      <c r="I107" s="790">
        <v>6135</v>
      </c>
      <c r="J107" s="779">
        <v>6135</v>
      </c>
      <c r="K107" s="790">
        <v>6135</v>
      </c>
      <c r="L107" s="568"/>
      <c r="M107" s="568"/>
      <c r="N107" s="568"/>
      <c r="O107" s="568"/>
      <c r="P107" s="568"/>
      <c r="Q107" s="568"/>
      <c r="R107" s="568"/>
      <c r="S107" s="568"/>
      <c r="T107" s="568"/>
      <c r="U107" s="568"/>
    </row>
    <row r="108" spans="1:21" s="8" customFormat="1" ht="45.75" thickBot="1" x14ac:dyDescent="0.3">
      <c r="A108" s="1007"/>
      <c r="B108" s="1008"/>
      <c r="C108" s="1006"/>
      <c r="D108" s="780" t="s">
        <v>164</v>
      </c>
      <c r="E108" s="781" t="s">
        <v>155</v>
      </c>
      <c r="F108" s="782" t="s">
        <v>155</v>
      </c>
      <c r="G108" s="782">
        <v>400</v>
      </c>
      <c r="H108" s="783">
        <v>690</v>
      </c>
      <c r="I108" s="791">
        <v>375</v>
      </c>
      <c r="J108" s="784">
        <v>144</v>
      </c>
      <c r="K108" s="791">
        <v>20</v>
      </c>
      <c r="L108" s="568"/>
      <c r="M108" s="568"/>
      <c r="N108" s="568"/>
      <c r="O108" s="568"/>
      <c r="P108" s="568"/>
      <c r="Q108" s="568"/>
      <c r="R108" s="568"/>
      <c r="S108" s="568"/>
      <c r="T108" s="568"/>
      <c r="U108" s="568"/>
    </row>
    <row r="109" spans="1:21" s="8" customFormat="1" ht="15.75" thickBot="1" x14ac:dyDescent="0.3">
      <c r="A109" s="1007"/>
      <c r="B109" s="1008"/>
      <c r="C109" s="1006"/>
      <c r="D109" s="785" t="s">
        <v>163</v>
      </c>
      <c r="E109" s="786">
        <v>0</v>
      </c>
      <c r="F109" s="786">
        <v>0</v>
      </c>
      <c r="G109" s="786">
        <v>0</v>
      </c>
      <c r="H109" s="787">
        <v>0</v>
      </c>
      <c r="I109" s="792">
        <v>0</v>
      </c>
      <c r="J109" s="788">
        <v>0</v>
      </c>
      <c r="K109" s="792">
        <v>0</v>
      </c>
      <c r="L109" s="568"/>
      <c r="M109" s="568"/>
      <c r="N109" s="568"/>
      <c r="O109" s="568"/>
      <c r="P109" s="568"/>
      <c r="Q109" s="568"/>
      <c r="R109" s="568"/>
      <c r="S109" s="568"/>
      <c r="T109" s="568"/>
      <c r="U109" s="568"/>
    </row>
    <row r="110" spans="1:21" s="8" customFormat="1" ht="15.75" thickBot="1" x14ac:dyDescent="0.3">
      <c r="A110" s="1007" t="s">
        <v>158</v>
      </c>
      <c r="B110" s="1008" t="s">
        <v>159</v>
      </c>
      <c r="C110" s="1006" t="s">
        <v>79</v>
      </c>
      <c r="D110" s="776" t="s">
        <v>152</v>
      </c>
      <c r="E110" s="777">
        <v>15067</v>
      </c>
      <c r="F110" s="778">
        <v>15067</v>
      </c>
      <c r="G110" s="778">
        <v>15067</v>
      </c>
      <c r="H110" s="764">
        <v>15067</v>
      </c>
      <c r="I110" s="764">
        <v>15067</v>
      </c>
      <c r="J110" s="779">
        <v>15067</v>
      </c>
      <c r="K110" s="790">
        <v>15067</v>
      </c>
      <c r="L110" s="568"/>
      <c r="M110" s="568"/>
      <c r="N110" s="568"/>
      <c r="O110" s="568"/>
      <c r="P110" s="568"/>
      <c r="Q110" s="568"/>
      <c r="R110" s="568"/>
      <c r="S110" s="568"/>
      <c r="T110" s="568"/>
      <c r="U110" s="568"/>
    </row>
    <row r="111" spans="1:21" s="8" customFormat="1" ht="15.75" thickBot="1" x14ac:dyDescent="0.3">
      <c r="A111" s="1007"/>
      <c r="B111" s="1008"/>
      <c r="C111" s="1006"/>
      <c r="D111" s="780" t="s">
        <v>162</v>
      </c>
      <c r="E111" s="781" t="s">
        <v>155</v>
      </c>
      <c r="F111" s="782">
        <v>0</v>
      </c>
      <c r="G111" s="782">
        <v>0</v>
      </c>
      <c r="H111" s="783">
        <v>0</v>
      </c>
      <c r="I111" s="783">
        <v>0</v>
      </c>
      <c r="J111" s="784">
        <v>0</v>
      </c>
      <c r="K111" s="791">
        <v>0</v>
      </c>
      <c r="L111" s="568"/>
      <c r="M111" s="568"/>
      <c r="N111" s="568"/>
      <c r="O111" s="568"/>
      <c r="P111" s="568"/>
      <c r="Q111" s="568"/>
      <c r="R111" s="568"/>
      <c r="S111" s="568"/>
      <c r="T111" s="568"/>
      <c r="U111" s="568"/>
    </row>
    <row r="112" spans="1:21" s="8" customFormat="1" ht="15.75" thickBot="1" x14ac:dyDescent="0.3">
      <c r="A112" s="1007"/>
      <c r="B112" s="1008"/>
      <c r="C112" s="1006"/>
      <c r="D112" s="785" t="s">
        <v>163</v>
      </c>
      <c r="E112" s="786">
        <v>0</v>
      </c>
      <c r="F112" s="786">
        <v>0</v>
      </c>
      <c r="G112" s="786">
        <v>0</v>
      </c>
      <c r="H112" s="787">
        <v>0</v>
      </c>
      <c r="I112" s="787">
        <v>0</v>
      </c>
      <c r="J112" s="788">
        <v>0</v>
      </c>
      <c r="K112" s="792">
        <v>0</v>
      </c>
      <c r="L112" s="568"/>
      <c r="M112" s="568"/>
      <c r="N112" s="568"/>
      <c r="O112" s="568"/>
      <c r="P112" s="568"/>
      <c r="Q112" s="568"/>
      <c r="R112" s="568"/>
      <c r="S112" s="568"/>
      <c r="T112" s="568"/>
      <c r="U112" s="568"/>
    </row>
    <row r="113" spans="1:34" s="8" customFormat="1" x14ac:dyDescent="0.25"/>
    <row r="114" spans="1:34" s="8" customFormat="1" x14ac:dyDescent="0.25">
      <c r="A114" s="482" t="s">
        <v>230</v>
      </c>
      <c r="B114" s="248"/>
      <c r="C114" s="248"/>
      <c r="D114" s="248"/>
      <c r="E114" s="248"/>
    </row>
    <row r="115" spans="1:34" s="68" customFormat="1" x14ac:dyDescent="0.25"/>
    <row r="116" spans="1:34" s="294" customFormat="1" ht="12" x14ac:dyDescent="0.2">
      <c r="A116" s="293" t="s">
        <v>237</v>
      </c>
      <c r="C116" s="295"/>
      <c r="D116" s="295"/>
    </row>
    <row r="117" spans="1:34" s="294" customFormat="1" ht="12" x14ac:dyDescent="0.2">
      <c r="C117" s="295"/>
      <c r="D117" s="295"/>
    </row>
    <row r="118" spans="1:34" s="294" customFormat="1" ht="12" x14ac:dyDescent="0.2">
      <c r="C118" s="295"/>
      <c r="D118" s="295"/>
    </row>
    <row r="119" spans="1:34" s="294" customFormat="1" ht="12" x14ac:dyDescent="0.2">
      <c r="C119" s="295"/>
      <c r="D119" s="295"/>
      <c r="E119" s="294" t="s">
        <v>100</v>
      </c>
      <c r="F119" s="294" t="s">
        <v>101</v>
      </c>
      <c r="G119" s="294" t="s">
        <v>104</v>
      </c>
      <c r="H119" s="294" t="s">
        <v>105</v>
      </c>
      <c r="I119" s="294" t="s">
        <v>102</v>
      </c>
      <c r="J119" s="294" t="s">
        <v>103</v>
      </c>
      <c r="K119" s="294" t="s">
        <v>106</v>
      </c>
      <c r="L119" s="294" t="s">
        <v>107</v>
      </c>
      <c r="M119" s="294" t="s">
        <v>108</v>
      </c>
      <c r="N119" s="294" t="s">
        <v>109</v>
      </c>
      <c r="O119" s="294" t="s">
        <v>110</v>
      </c>
      <c r="P119" s="294" t="s">
        <v>111</v>
      </c>
      <c r="Q119" s="294" t="s">
        <v>112</v>
      </c>
      <c r="R119" s="294" t="s">
        <v>113</v>
      </c>
      <c r="S119" s="294" t="s">
        <v>114</v>
      </c>
      <c r="T119" s="294" t="s">
        <v>115</v>
      </c>
      <c r="U119" s="294" t="s">
        <v>116</v>
      </c>
      <c r="V119" s="294" t="s">
        <v>117</v>
      </c>
      <c r="W119" s="294" t="s">
        <v>118</v>
      </c>
      <c r="X119" s="294" t="s">
        <v>119</v>
      </c>
      <c r="Y119" s="294" t="s">
        <v>242</v>
      </c>
      <c r="Z119" s="294" t="s">
        <v>243</v>
      </c>
      <c r="AA119" s="294" t="s">
        <v>333</v>
      </c>
      <c r="AB119" s="294" t="s">
        <v>334</v>
      </c>
      <c r="AC119" s="294" t="s">
        <v>355</v>
      </c>
      <c r="AD119" s="294" t="s">
        <v>356</v>
      </c>
      <c r="AE119" s="294" t="s">
        <v>357</v>
      </c>
      <c r="AF119" s="294" t="s">
        <v>358</v>
      </c>
    </row>
    <row r="120" spans="1:34" s="294" customFormat="1" ht="12" x14ac:dyDescent="0.2">
      <c r="C120" s="295"/>
      <c r="D120" s="295" t="s">
        <v>238</v>
      </c>
      <c r="E120" s="296">
        <f t="shared" ref="E120:AF120" si="21">E68</f>
        <v>1201.92</v>
      </c>
      <c r="F120" s="296">
        <f t="shared" si="21"/>
        <v>1684.864</v>
      </c>
      <c r="G120" s="296">
        <f t="shared" si="21"/>
        <v>1978.4960000000001</v>
      </c>
      <c r="H120" s="296">
        <f t="shared" si="21"/>
        <v>1822.336</v>
      </c>
      <c r="I120" s="296">
        <f t="shared" si="21"/>
        <v>1677.184</v>
      </c>
      <c r="J120" s="296">
        <f t="shared" si="21"/>
        <v>1918.9760000000001</v>
      </c>
      <c r="K120" s="296">
        <f t="shared" si="21"/>
        <v>2140.4160000000002</v>
      </c>
      <c r="L120" s="296">
        <f t="shared" si="21"/>
        <v>3132.9279999999999</v>
      </c>
      <c r="M120" s="296">
        <f t="shared" si="21"/>
        <v>3801.4720000000002</v>
      </c>
      <c r="N120" s="296">
        <f t="shared" si="21"/>
        <v>3206.7840000000001</v>
      </c>
      <c r="O120" s="296">
        <f t="shared" si="21"/>
        <v>1657.856</v>
      </c>
      <c r="P120" s="296">
        <f t="shared" si="21"/>
        <v>2126.4639999999999</v>
      </c>
      <c r="Q120" s="296">
        <f t="shared" si="21"/>
        <v>2420.7359999999999</v>
      </c>
      <c r="R120" s="296">
        <f t="shared" si="21"/>
        <v>1822.336</v>
      </c>
      <c r="S120" s="296">
        <f t="shared" si="21"/>
        <v>1370.24</v>
      </c>
      <c r="T120" s="296">
        <f t="shared" si="21"/>
        <v>2155.2640000000001</v>
      </c>
      <c r="U120" s="296">
        <f t="shared" si="21"/>
        <v>2407.808</v>
      </c>
      <c r="V120" s="296">
        <f t="shared" si="21"/>
        <v>1672.8320000000001</v>
      </c>
      <c r="W120" s="296">
        <f t="shared" si="21"/>
        <v>2086.0160000000001</v>
      </c>
      <c r="X120" s="296">
        <f t="shared" si="21"/>
        <v>1765.8880000000001</v>
      </c>
      <c r="Y120" s="296">
        <f t="shared" si="21"/>
        <v>1688.576</v>
      </c>
      <c r="Z120" s="296">
        <f t="shared" si="21"/>
        <v>2549.248</v>
      </c>
      <c r="AA120" s="296">
        <f t="shared" si="21"/>
        <v>1564.4159999999999</v>
      </c>
      <c r="AB120" s="296">
        <f t="shared" si="21"/>
        <v>1397.1200000000001</v>
      </c>
      <c r="AC120" s="296">
        <f t="shared" si="21"/>
        <v>1667.328</v>
      </c>
      <c r="AD120" s="296">
        <f t="shared" si="21"/>
        <v>1694.08</v>
      </c>
      <c r="AE120" s="296">
        <f t="shared" si="21"/>
        <v>1168.5119999999999</v>
      </c>
      <c r="AF120" s="296">
        <f t="shared" si="21"/>
        <v>1595.136</v>
      </c>
    </row>
    <row r="121" spans="1:34" s="294" customFormat="1" ht="12" x14ac:dyDescent="0.2">
      <c r="C121" s="295"/>
      <c r="D121" s="295" t="s">
        <v>322</v>
      </c>
      <c r="E121" s="296">
        <f t="shared" ref="E121:AF121" si="22">E67-E68</f>
        <v>1708.1599999999999</v>
      </c>
      <c r="F121" s="296">
        <f t="shared" si="22"/>
        <v>2116.6080000000002</v>
      </c>
      <c r="G121" s="296">
        <f t="shared" si="22"/>
        <v>2475.5199999999995</v>
      </c>
      <c r="H121" s="296">
        <f t="shared" si="22"/>
        <v>3587.7119999999995</v>
      </c>
      <c r="I121" s="296">
        <f t="shared" si="22"/>
        <v>3299.7119999999995</v>
      </c>
      <c r="J121" s="296">
        <f t="shared" si="22"/>
        <v>2345.8560000000002</v>
      </c>
      <c r="K121" s="296">
        <f t="shared" si="22"/>
        <v>2084.7359999999999</v>
      </c>
      <c r="L121" s="296">
        <f t="shared" si="22"/>
        <v>2642.5599999999995</v>
      </c>
      <c r="M121" s="296">
        <f t="shared" si="22"/>
        <v>4081.1519999999996</v>
      </c>
      <c r="N121" s="296">
        <f t="shared" si="22"/>
        <v>4462.7200000000012</v>
      </c>
      <c r="O121" s="296">
        <f t="shared" si="22"/>
        <v>3264.8960000000006</v>
      </c>
      <c r="P121" s="296">
        <f t="shared" si="22"/>
        <v>3886.3360000000002</v>
      </c>
      <c r="Q121" s="296">
        <f t="shared" si="22"/>
        <v>7008.0000000000009</v>
      </c>
      <c r="R121" s="296">
        <f t="shared" si="22"/>
        <v>4409.2160000000003</v>
      </c>
      <c r="S121" s="296">
        <f t="shared" si="22"/>
        <v>4710.2719999999999</v>
      </c>
      <c r="T121" s="296">
        <f t="shared" si="22"/>
        <v>7852.1599999999989</v>
      </c>
      <c r="U121" s="296">
        <f t="shared" si="22"/>
        <v>7076.2239999999993</v>
      </c>
      <c r="V121" s="296">
        <f t="shared" si="22"/>
        <v>4515.84</v>
      </c>
      <c r="W121" s="296">
        <f t="shared" si="22"/>
        <v>5888.6400000000012</v>
      </c>
      <c r="X121" s="296">
        <f t="shared" si="22"/>
        <v>6050.0479999999998</v>
      </c>
      <c r="Y121" s="296">
        <f t="shared" si="22"/>
        <v>5796.4800000000005</v>
      </c>
      <c r="Z121" s="296">
        <f t="shared" si="22"/>
        <v>5022.2080000000005</v>
      </c>
      <c r="AA121" s="296">
        <f t="shared" si="22"/>
        <v>4532.2240000000002</v>
      </c>
      <c r="AB121" s="296">
        <f t="shared" si="22"/>
        <v>4433.7920000000004</v>
      </c>
      <c r="AC121" s="296">
        <f t="shared" si="22"/>
        <v>5269.1200000000008</v>
      </c>
      <c r="AD121" s="296">
        <f t="shared" si="22"/>
        <v>5233.4080000000004</v>
      </c>
      <c r="AE121" s="296">
        <f t="shared" si="22"/>
        <v>5190.7840000000006</v>
      </c>
      <c r="AF121" s="296">
        <f t="shared" si="22"/>
        <v>7647.4879999999994</v>
      </c>
    </row>
    <row r="122" spans="1:34" s="294" customFormat="1" ht="12" x14ac:dyDescent="0.2">
      <c r="C122" s="295"/>
      <c r="D122" s="295" t="s">
        <v>236</v>
      </c>
      <c r="E122" s="296">
        <f t="shared" ref="E122:AF122" si="23">E76</f>
        <v>5217.6699374999989</v>
      </c>
      <c r="F122" s="296">
        <f t="shared" si="23"/>
        <v>5217.6699374999989</v>
      </c>
      <c r="G122" s="296">
        <f t="shared" si="23"/>
        <v>5217.6699374999989</v>
      </c>
      <c r="H122" s="296">
        <f t="shared" si="23"/>
        <v>5217.6699374999989</v>
      </c>
      <c r="I122" s="296">
        <f t="shared" si="23"/>
        <v>5174.9576275000009</v>
      </c>
      <c r="J122" s="296">
        <f t="shared" si="23"/>
        <v>5174.9576275000009</v>
      </c>
      <c r="K122" s="296">
        <f t="shared" si="23"/>
        <v>5174.9576275000009</v>
      </c>
      <c r="L122" s="296">
        <f t="shared" si="23"/>
        <v>5174.9576275000009</v>
      </c>
      <c r="M122" s="296">
        <f t="shared" si="23"/>
        <v>5165.4201200000025</v>
      </c>
      <c r="N122" s="296">
        <f t="shared" si="23"/>
        <v>5165.4201200000025</v>
      </c>
      <c r="O122" s="296">
        <f t="shared" si="23"/>
        <v>5165.4201200000025</v>
      </c>
      <c r="P122" s="296">
        <f t="shared" si="23"/>
        <v>5165.4201200000025</v>
      </c>
      <c r="Q122" s="296">
        <f t="shared" si="23"/>
        <v>5143.5577199999998</v>
      </c>
      <c r="R122" s="296">
        <f t="shared" si="23"/>
        <v>5143.5577199999998</v>
      </c>
      <c r="S122" s="296">
        <f t="shared" si="23"/>
        <v>5143.5577199999998</v>
      </c>
      <c r="T122" s="296">
        <f t="shared" si="23"/>
        <v>5143.5577199999998</v>
      </c>
      <c r="U122" s="296">
        <f t="shared" si="23"/>
        <v>5171.25</v>
      </c>
      <c r="V122" s="296">
        <f t="shared" si="23"/>
        <v>5171.25</v>
      </c>
      <c r="W122" s="296">
        <f t="shared" si="23"/>
        <v>5171.25</v>
      </c>
      <c r="X122" s="296">
        <f t="shared" si="23"/>
        <v>5171.25</v>
      </c>
      <c r="Y122" s="296">
        <f t="shared" si="23"/>
        <v>5041.5</v>
      </c>
      <c r="Z122" s="296">
        <f t="shared" si="23"/>
        <v>5041.5</v>
      </c>
      <c r="AA122" s="296">
        <f t="shared" si="23"/>
        <v>5041.5</v>
      </c>
      <c r="AB122" s="296">
        <f t="shared" si="23"/>
        <v>5041.5</v>
      </c>
      <c r="AC122" s="296">
        <f t="shared" si="23"/>
        <v>4948</v>
      </c>
      <c r="AD122" s="296">
        <f t="shared" si="23"/>
        <v>4948</v>
      </c>
      <c r="AE122" s="296">
        <f t="shared" si="23"/>
        <v>4948</v>
      </c>
      <c r="AF122" s="296">
        <f t="shared" si="23"/>
        <v>4948</v>
      </c>
    </row>
    <row r="123" spans="1:34" s="294" customFormat="1" ht="12" x14ac:dyDescent="0.2">
      <c r="C123" s="295"/>
      <c r="D123" s="295"/>
    </row>
    <row r="124" spans="1:34" s="294" customFormat="1" ht="12" x14ac:dyDescent="0.2">
      <c r="C124" s="295"/>
      <c r="D124" s="295"/>
      <c r="E124" s="294" t="s">
        <v>100</v>
      </c>
      <c r="F124" s="294" t="s">
        <v>101</v>
      </c>
      <c r="G124" s="294" t="s">
        <v>104</v>
      </c>
      <c r="H124" s="294" t="s">
        <v>105</v>
      </c>
      <c r="I124" s="294" t="s">
        <v>102</v>
      </c>
      <c r="J124" s="294" t="s">
        <v>103</v>
      </c>
      <c r="K124" s="294" t="s">
        <v>106</v>
      </c>
      <c r="L124" s="294" t="s">
        <v>107</v>
      </c>
      <c r="M124" s="294" t="s">
        <v>108</v>
      </c>
      <c r="N124" s="294" t="s">
        <v>109</v>
      </c>
      <c r="O124" s="294" t="s">
        <v>110</v>
      </c>
      <c r="P124" s="294" t="s">
        <v>111</v>
      </c>
      <c r="Q124" s="294" t="s">
        <v>112</v>
      </c>
      <c r="R124" s="294" t="s">
        <v>113</v>
      </c>
      <c r="S124" s="294" t="s">
        <v>114</v>
      </c>
      <c r="T124" s="294" t="s">
        <v>115</v>
      </c>
      <c r="U124" s="294" t="s">
        <v>116</v>
      </c>
      <c r="V124" s="294" t="s">
        <v>117</v>
      </c>
      <c r="W124" s="294" t="s">
        <v>118</v>
      </c>
      <c r="X124" s="294" t="s">
        <v>119</v>
      </c>
      <c r="Y124" s="294" t="s">
        <v>242</v>
      </c>
      <c r="Z124" s="294" t="s">
        <v>243</v>
      </c>
      <c r="AA124" s="294" t="s">
        <v>333</v>
      </c>
      <c r="AB124" s="294" t="s">
        <v>334</v>
      </c>
      <c r="AC124" s="294" t="s">
        <v>355</v>
      </c>
      <c r="AD124" s="294" t="s">
        <v>356</v>
      </c>
      <c r="AE124" s="294" t="s">
        <v>357</v>
      </c>
      <c r="AF124" s="294" t="s">
        <v>358</v>
      </c>
    </row>
    <row r="125" spans="1:34" s="294" customFormat="1" ht="12" x14ac:dyDescent="0.2">
      <c r="C125" s="295"/>
      <c r="D125" s="297" t="s">
        <v>235</v>
      </c>
      <c r="E125" s="298">
        <f t="shared" ref="E125:Z125" si="24">E69*E130</f>
        <v>0</v>
      </c>
      <c r="F125" s="298">
        <f t="shared" si="24"/>
        <v>0</v>
      </c>
      <c r="G125" s="298">
        <f t="shared" si="24"/>
        <v>0</v>
      </c>
      <c r="H125" s="298">
        <f t="shared" si="24"/>
        <v>0</v>
      </c>
      <c r="I125" s="298">
        <f t="shared" si="24"/>
        <v>0</v>
      </c>
      <c r="J125" s="298">
        <f t="shared" si="24"/>
        <v>0</v>
      </c>
      <c r="K125" s="298">
        <f t="shared" si="24"/>
        <v>0</v>
      </c>
      <c r="L125" s="298">
        <f t="shared" si="24"/>
        <v>0</v>
      </c>
      <c r="M125" s="298">
        <f t="shared" si="24"/>
        <v>0</v>
      </c>
      <c r="N125" s="298">
        <f t="shared" si="24"/>
        <v>0</v>
      </c>
      <c r="O125" s="298">
        <f t="shared" si="24"/>
        <v>0</v>
      </c>
      <c r="P125" s="298">
        <f t="shared" si="24"/>
        <v>0</v>
      </c>
      <c r="Q125" s="298">
        <f t="shared" si="24"/>
        <v>0</v>
      </c>
      <c r="R125" s="298">
        <f t="shared" si="24"/>
        <v>0</v>
      </c>
      <c r="S125" s="298">
        <f t="shared" si="24"/>
        <v>0</v>
      </c>
      <c r="T125" s="298">
        <f t="shared" si="24"/>
        <v>24</v>
      </c>
      <c r="U125" s="298">
        <f t="shared" si="24"/>
        <v>24.818239392020264</v>
      </c>
      <c r="V125" s="298">
        <f t="shared" si="24"/>
        <v>141.48955034832173</v>
      </c>
      <c r="W125" s="298">
        <f t="shared" si="24"/>
        <v>75.094363521215968</v>
      </c>
      <c r="X125" s="298">
        <f t="shared" si="24"/>
        <v>162.59784673844206</v>
      </c>
      <c r="Y125" s="298">
        <f t="shared" si="24"/>
        <v>67.077292110874197</v>
      </c>
      <c r="Z125" s="298">
        <f t="shared" si="24"/>
        <v>66.123134328358205</v>
      </c>
      <c r="AA125" s="298">
        <f t="shared" ref="AA125:AF125" si="25">AA69*AA130</f>
        <v>0</v>
      </c>
      <c r="AB125" s="298">
        <f t="shared" si="25"/>
        <v>45.799573560767584</v>
      </c>
      <c r="AC125" s="298">
        <f t="shared" si="25"/>
        <v>0</v>
      </c>
      <c r="AD125" s="298">
        <f t="shared" si="25"/>
        <v>0</v>
      </c>
      <c r="AE125" s="298">
        <f t="shared" si="25"/>
        <v>0</v>
      </c>
      <c r="AF125" s="298">
        <f t="shared" si="25"/>
        <v>0</v>
      </c>
    </row>
    <row r="126" spans="1:34" s="294" customFormat="1" ht="12" x14ac:dyDescent="0.2">
      <c r="C126" s="295"/>
      <c r="D126" s="297" t="s">
        <v>234</v>
      </c>
      <c r="E126" s="298">
        <f t="shared" ref="E126:Z126" si="26">E69*(1-E130)</f>
        <v>31.872</v>
      </c>
      <c r="F126" s="298">
        <f t="shared" si="26"/>
        <v>0</v>
      </c>
      <c r="G126" s="298">
        <f t="shared" si="26"/>
        <v>0</v>
      </c>
      <c r="H126" s="298">
        <f t="shared" si="26"/>
        <v>126.464</v>
      </c>
      <c r="I126" s="298">
        <f t="shared" si="26"/>
        <v>0</v>
      </c>
      <c r="J126" s="298">
        <f t="shared" si="26"/>
        <v>0.128</v>
      </c>
      <c r="K126" s="298">
        <f t="shared" si="26"/>
        <v>21.376000000000001</v>
      </c>
      <c r="L126" s="298">
        <f t="shared" si="26"/>
        <v>0.89600000000000002</v>
      </c>
      <c r="M126" s="298">
        <f t="shared" si="26"/>
        <v>18.048000000000002</v>
      </c>
      <c r="N126" s="298">
        <f t="shared" si="26"/>
        <v>0</v>
      </c>
      <c r="O126" s="298">
        <f t="shared" si="26"/>
        <v>51.328000000000003</v>
      </c>
      <c r="P126" s="298">
        <f t="shared" si="26"/>
        <v>31.872</v>
      </c>
      <c r="Q126" s="298">
        <f t="shared" si="26"/>
        <v>1.92</v>
      </c>
      <c r="R126" s="298">
        <f t="shared" si="26"/>
        <v>94.335999999999999</v>
      </c>
      <c r="S126" s="298">
        <f t="shared" si="26"/>
        <v>30.72</v>
      </c>
      <c r="T126" s="298">
        <f t="shared" si="26"/>
        <v>161.47200000000001</v>
      </c>
      <c r="U126" s="298">
        <f t="shared" si="26"/>
        <v>1.3760607979736819E-2</v>
      </c>
      <c r="V126" s="298">
        <f t="shared" si="26"/>
        <v>7.8449651678293417E-2</v>
      </c>
      <c r="W126" s="298">
        <f t="shared" si="26"/>
        <v>4.1636478784049039E-2</v>
      </c>
      <c r="X126" s="298">
        <f t="shared" si="26"/>
        <v>9.0153261557966477E-2</v>
      </c>
      <c r="Y126" s="298">
        <f t="shared" si="26"/>
        <v>22.906707889125808</v>
      </c>
      <c r="Z126" s="298">
        <f t="shared" si="26"/>
        <v>22.580865671641799</v>
      </c>
      <c r="AA126" s="298">
        <f t="shared" ref="AA126:AF126" si="27">AA69*(1-AA130)</f>
        <v>0</v>
      </c>
      <c r="AB126" s="298">
        <f t="shared" si="27"/>
        <v>15.640426439232414</v>
      </c>
      <c r="AC126" s="298">
        <f t="shared" si="27"/>
        <v>159.87200000000001</v>
      </c>
      <c r="AD126" s="298">
        <f t="shared" si="27"/>
        <v>1.536</v>
      </c>
      <c r="AE126" s="298">
        <f t="shared" si="27"/>
        <v>0</v>
      </c>
      <c r="AF126" s="298">
        <f t="shared" si="27"/>
        <v>0</v>
      </c>
    </row>
    <row r="127" spans="1:34" s="294" customFormat="1" ht="12" x14ac:dyDescent="0.2">
      <c r="C127" s="295"/>
      <c r="D127" s="295" t="s">
        <v>236</v>
      </c>
      <c r="E127" s="296">
        <f t="shared" ref="E127:AF127" si="28">E76</f>
        <v>5217.6699374999989</v>
      </c>
      <c r="F127" s="296">
        <f t="shared" si="28"/>
        <v>5217.6699374999989</v>
      </c>
      <c r="G127" s="296">
        <f t="shared" si="28"/>
        <v>5217.6699374999989</v>
      </c>
      <c r="H127" s="296">
        <f t="shared" si="28"/>
        <v>5217.6699374999989</v>
      </c>
      <c r="I127" s="296">
        <f t="shared" si="28"/>
        <v>5174.9576275000009</v>
      </c>
      <c r="J127" s="296">
        <f t="shared" si="28"/>
        <v>5174.9576275000009</v>
      </c>
      <c r="K127" s="296">
        <f t="shared" si="28"/>
        <v>5174.9576275000009</v>
      </c>
      <c r="L127" s="296">
        <f t="shared" si="28"/>
        <v>5174.9576275000009</v>
      </c>
      <c r="M127" s="296">
        <f t="shared" si="28"/>
        <v>5165.4201200000025</v>
      </c>
      <c r="N127" s="296">
        <f t="shared" si="28"/>
        <v>5165.4201200000025</v>
      </c>
      <c r="O127" s="296">
        <f t="shared" si="28"/>
        <v>5165.4201200000025</v>
      </c>
      <c r="P127" s="296">
        <f t="shared" si="28"/>
        <v>5165.4201200000025</v>
      </c>
      <c r="Q127" s="296">
        <f t="shared" si="28"/>
        <v>5143.5577199999998</v>
      </c>
      <c r="R127" s="296">
        <f t="shared" si="28"/>
        <v>5143.5577199999998</v>
      </c>
      <c r="S127" s="296">
        <f t="shared" si="28"/>
        <v>5143.5577199999998</v>
      </c>
      <c r="T127" s="296">
        <f t="shared" si="28"/>
        <v>5143.5577199999998</v>
      </c>
      <c r="U127" s="296">
        <f t="shared" si="28"/>
        <v>5171.25</v>
      </c>
      <c r="V127" s="296">
        <f t="shared" si="28"/>
        <v>5171.25</v>
      </c>
      <c r="W127" s="296">
        <f t="shared" si="28"/>
        <v>5171.25</v>
      </c>
      <c r="X127" s="296">
        <f t="shared" si="28"/>
        <v>5171.25</v>
      </c>
      <c r="Y127" s="296">
        <f t="shared" si="28"/>
        <v>5041.5</v>
      </c>
      <c r="Z127" s="296">
        <f t="shared" si="28"/>
        <v>5041.5</v>
      </c>
      <c r="AA127" s="296">
        <f t="shared" si="28"/>
        <v>5041.5</v>
      </c>
      <c r="AB127" s="296">
        <f t="shared" si="28"/>
        <v>5041.5</v>
      </c>
      <c r="AC127" s="296">
        <f t="shared" si="28"/>
        <v>4948</v>
      </c>
      <c r="AD127" s="296">
        <f t="shared" si="28"/>
        <v>4948</v>
      </c>
      <c r="AE127" s="296">
        <f t="shared" si="28"/>
        <v>4948</v>
      </c>
      <c r="AF127" s="296">
        <f t="shared" si="28"/>
        <v>4948</v>
      </c>
    </row>
    <row r="128" spans="1:34" s="294" customFormat="1" ht="12" x14ac:dyDescent="0.2">
      <c r="C128" s="295"/>
      <c r="D128" s="295" t="s">
        <v>239</v>
      </c>
      <c r="E128" s="330">
        <f>E88</f>
        <v>0</v>
      </c>
      <c r="F128" s="296">
        <f>E128</f>
        <v>0</v>
      </c>
      <c r="G128" s="296">
        <f>E128</f>
        <v>0</v>
      </c>
      <c r="H128" s="296">
        <f>E128</f>
        <v>0</v>
      </c>
      <c r="I128" s="330">
        <f>F88</f>
        <v>0</v>
      </c>
      <c r="J128" s="296">
        <f>I128</f>
        <v>0</v>
      </c>
      <c r="K128" s="296">
        <f>I128</f>
        <v>0</v>
      </c>
      <c r="L128" s="296">
        <f>I128</f>
        <v>0</v>
      </c>
      <c r="M128" s="330">
        <f>G88</f>
        <v>0</v>
      </c>
      <c r="N128" s="296">
        <f>M128</f>
        <v>0</v>
      </c>
      <c r="O128" s="296">
        <f>M128</f>
        <v>0</v>
      </c>
      <c r="P128" s="296">
        <f>M128</f>
        <v>0</v>
      </c>
      <c r="Q128" s="330">
        <v>0</v>
      </c>
      <c r="R128" s="296">
        <f>Q128</f>
        <v>0</v>
      </c>
      <c r="S128" s="296">
        <f>Q128</f>
        <v>0</v>
      </c>
      <c r="T128" s="330">
        <f>H88</f>
        <v>24</v>
      </c>
      <c r="U128" s="435">
        <v>404</v>
      </c>
      <c r="V128" s="434">
        <f>U128</f>
        <v>404</v>
      </c>
      <c r="W128" s="434">
        <f>U128</f>
        <v>404</v>
      </c>
      <c r="X128" s="434">
        <f>U128</f>
        <v>404</v>
      </c>
      <c r="Y128" s="435">
        <v>179</v>
      </c>
      <c r="Z128" s="434">
        <f>Y128</f>
        <v>179</v>
      </c>
      <c r="AA128" s="434">
        <f t="shared" ref="AA128" si="29">Z128</f>
        <v>179</v>
      </c>
      <c r="AB128" s="434">
        <f>AA128</f>
        <v>179</v>
      </c>
      <c r="AC128" s="434">
        <v>0</v>
      </c>
      <c r="AD128" s="434">
        <v>0</v>
      </c>
      <c r="AE128" s="434">
        <v>0</v>
      </c>
      <c r="AF128" s="434">
        <v>0</v>
      </c>
      <c r="AG128" s="296"/>
      <c r="AH128" s="296"/>
    </row>
    <row r="129" spans="2:40" s="294" customFormat="1" ht="12" x14ac:dyDescent="0.2">
      <c r="C129" s="295"/>
      <c r="D129" s="295" t="s">
        <v>240</v>
      </c>
      <c r="E129" s="330">
        <f>SUM(E69:H69)</f>
        <v>158.33600000000001</v>
      </c>
      <c r="F129" s="296">
        <f>E129</f>
        <v>158.33600000000001</v>
      </c>
      <c r="G129" s="296">
        <f>E129</f>
        <v>158.33600000000001</v>
      </c>
      <c r="H129" s="296">
        <f>E129</f>
        <v>158.33600000000001</v>
      </c>
      <c r="I129" s="330">
        <f>SUM(I69:L69)</f>
        <v>22.400000000000002</v>
      </c>
      <c r="J129" s="296">
        <f>I129</f>
        <v>22.400000000000002</v>
      </c>
      <c r="K129" s="296">
        <f>I129</f>
        <v>22.400000000000002</v>
      </c>
      <c r="L129" s="296">
        <f>I129</f>
        <v>22.400000000000002</v>
      </c>
      <c r="M129" s="330">
        <f>SUM(M69:P69)</f>
        <v>101.248</v>
      </c>
      <c r="N129" s="296">
        <f>M129</f>
        <v>101.248</v>
      </c>
      <c r="O129" s="296">
        <f>M129</f>
        <v>101.248</v>
      </c>
      <c r="P129" s="296">
        <f>M129</f>
        <v>101.248</v>
      </c>
      <c r="Q129" s="330">
        <f>SUM(Q69:T69)</f>
        <v>312.44799999999998</v>
      </c>
      <c r="R129" s="296">
        <f>Q129</f>
        <v>312.44799999999998</v>
      </c>
      <c r="S129" s="296">
        <f>Q129</f>
        <v>312.44799999999998</v>
      </c>
      <c r="T129" s="330">
        <f>T69</f>
        <v>185.47200000000001</v>
      </c>
      <c r="U129" s="330">
        <f>SUM(U69:X69)</f>
        <v>404.22400000000005</v>
      </c>
      <c r="V129" s="296">
        <f>U129</f>
        <v>404.22400000000005</v>
      </c>
      <c r="W129" s="296">
        <f>U129</f>
        <v>404.22400000000005</v>
      </c>
      <c r="X129" s="296">
        <f>U129</f>
        <v>404.22400000000005</v>
      </c>
      <c r="Y129" s="330">
        <f>AM69</f>
        <v>240.12800000000001</v>
      </c>
      <c r="Z129" s="296">
        <f>Y129</f>
        <v>240.12800000000001</v>
      </c>
      <c r="AA129" s="296">
        <f t="shared" ref="AA129" si="30">Z129</f>
        <v>240.12800000000001</v>
      </c>
      <c r="AB129" s="296">
        <f>AA129</f>
        <v>240.12800000000001</v>
      </c>
      <c r="AC129" s="296">
        <v>188</v>
      </c>
      <c r="AD129" s="296">
        <v>188</v>
      </c>
      <c r="AE129" s="296">
        <v>188</v>
      </c>
      <c r="AF129" s="296">
        <v>188</v>
      </c>
      <c r="AG129" s="296"/>
      <c r="AH129" s="296"/>
    </row>
    <row r="130" spans="2:40" s="294" customFormat="1" ht="12" x14ac:dyDescent="0.2">
      <c r="C130" s="295"/>
      <c r="D130" s="295" t="s">
        <v>241</v>
      </c>
      <c r="E130" s="300">
        <f>E128/E129</f>
        <v>0</v>
      </c>
      <c r="F130" s="300">
        <f t="shared" ref="F130:AF130" si="31">F128/F129</f>
        <v>0</v>
      </c>
      <c r="G130" s="300">
        <f t="shared" si="31"/>
        <v>0</v>
      </c>
      <c r="H130" s="300">
        <f t="shared" si="31"/>
        <v>0</v>
      </c>
      <c r="I130" s="300">
        <f t="shared" si="31"/>
        <v>0</v>
      </c>
      <c r="J130" s="300">
        <f t="shared" si="31"/>
        <v>0</v>
      </c>
      <c r="K130" s="300">
        <f t="shared" si="31"/>
        <v>0</v>
      </c>
      <c r="L130" s="300">
        <f t="shared" si="31"/>
        <v>0</v>
      </c>
      <c r="M130" s="300">
        <f t="shared" si="31"/>
        <v>0</v>
      </c>
      <c r="N130" s="300">
        <f t="shared" si="31"/>
        <v>0</v>
      </c>
      <c r="O130" s="300">
        <f t="shared" si="31"/>
        <v>0</v>
      </c>
      <c r="P130" s="300">
        <f t="shared" si="31"/>
        <v>0</v>
      </c>
      <c r="Q130" s="300">
        <f t="shared" si="31"/>
        <v>0</v>
      </c>
      <c r="R130" s="300">
        <f t="shared" si="31"/>
        <v>0</v>
      </c>
      <c r="S130" s="300">
        <f t="shared" si="31"/>
        <v>0</v>
      </c>
      <c r="T130" s="300">
        <f t="shared" si="31"/>
        <v>0.12939958592132506</v>
      </c>
      <c r="U130" s="300">
        <f t="shared" si="31"/>
        <v>0.99944585180493972</v>
      </c>
      <c r="V130" s="300">
        <f t="shared" si="31"/>
        <v>0.99944585180493972</v>
      </c>
      <c r="W130" s="300">
        <f t="shared" si="31"/>
        <v>0.99944585180493972</v>
      </c>
      <c r="X130" s="300">
        <f t="shared" si="31"/>
        <v>0.99944585180493972</v>
      </c>
      <c r="Y130" s="300">
        <f t="shared" si="31"/>
        <v>0.74543576759061825</v>
      </c>
      <c r="Z130" s="300">
        <f t="shared" si="31"/>
        <v>0.74543576759061825</v>
      </c>
      <c r="AA130" s="300">
        <f t="shared" si="31"/>
        <v>0.74543576759061825</v>
      </c>
      <c r="AB130" s="300">
        <f t="shared" si="31"/>
        <v>0.74543576759061825</v>
      </c>
      <c r="AC130" s="300">
        <f t="shared" si="31"/>
        <v>0</v>
      </c>
      <c r="AD130" s="300">
        <f t="shared" si="31"/>
        <v>0</v>
      </c>
      <c r="AE130" s="300">
        <f t="shared" si="31"/>
        <v>0</v>
      </c>
      <c r="AF130" s="300">
        <f t="shared" si="31"/>
        <v>0</v>
      </c>
    </row>
    <row r="131" spans="2:40" x14ac:dyDescent="0.25">
      <c r="AA131" s="68"/>
      <c r="AB131" s="68"/>
      <c r="AC131" s="68"/>
      <c r="AD131" s="68"/>
      <c r="AE131" s="68"/>
      <c r="AF131" s="68"/>
    </row>
    <row r="132" spans="2:40" x14ac:dyDescent="0.25">
      <c r="AA132" s="68"/>
      <c r="AB132" s="68"/>
      <c r="AC132" s="68"/>
      <c r="AD132" s="68"/>
      <c r="AE132" s="68"/>
      <c r="AF132" s="68"/>
    </row>
    <row r="133" spans="2:40" x14ac:dyDescent="0.25">
      <c r="AA133" s="68"/>
      <c r="AB133" s="68"/>
      <c r="AC133" s="68"/>
      <c r="AD133" s="68"/>
      <c r="AE133" s="68"/>
      <c r="AF133" s="68"/>
    </row>
    <row r="134" spans="2:40" x14ac:dyDescent="0.25">
      <c r="AA134" s="68"/>
      <c r="AB134" s="68"/>
      <c r="AC134" s="68"/>
      <c r="AD134" s="68"/>
      <c r="AE134" s="68"/>
      <c r="AF134" s="68"/>
    </row>
    <row r="135" spans="2:40" x14ac:dyDescent="0.25">
      <c r="B135" s="365" t="s">
        <v>368</v>
      </c>
    </row>
    <row r="136" spans="2:40" ht="15.75" thickBot="1" x14ac:dyDescent="0.3"/>
    <row r="137" spans="2:40" ht="15.75" thickBot="1" x14ac:dyDescent="0.3">
      <c r="B137" s="29" t="s">
        <v>71</v>
      </c>
      <c r="C137" s="52" t="s">
        <v>68</v>
      </c>
      <c r="D137" s="53" t="s">
        <v>69</v>
      </c>
      <c r="E137" s="51" t="s">
        <v>100</v>
      </c>
      <c r="F137" s="52" t="s">
        <v>101</v>
      </c>
      <c r="G137" s="52" t="s">
        <v>104</v>
      </c>
      <c r="H137" s="53" t="s">
        <v>105</v>
      </c>
      <c r="I137" s="51" t="s">
        <v>102</v>
      </c>
      <c r="J137" s="52" t="s">
        <v>103</v>
      </c>
      <c r="K137" s="52" t="s">
        <v>106</v>
      </c>
      <c r="L137" s="501" t="s">
        <v>107</v>
      </c>
      <c r="M137" s="500" t="s">
        <v>108</v>
      </c>
      <c r="N137" s="499" t="s">
        <v>109</v>
      </c>
      <c r="O137" s="499" t="s">
        <v>110</v>
      </c>
      <c r="P137" s="501" t="s">
        <v>111</v>
      </c>
      <c r="Q137" s="500" t="s">
        <v>112</v>
      </c>
      <c r="R137" s="499" t="s">
        <v>113</v>
      </c>
      <c r="S137" s="502" t="s">
        <v>114</v>
      </c>
      <c r="T137" s="503" t="s">
        <v>115</v>
      </c>
      <c r="U137" s="500" t="s">
        <v>116</v>
      </c>
      <c r="V137" s="499" t="s">
        <v>117</v>
      </c>
      <c r="W137" s="499" t="s">
        <v>118</v>
      </c>
      <c r="X137" s="501" t="s">
        <v>119</v>
      </c>
      <c r="Y137" s="500" t="s">
        <v>242</v>
      </c>
      <c r="Z137" s="499" t="s">
        <v>243</v>
      </c>
      <c r="AA137" s="499" t="s">
        <v>333</v>
      </c>
      <c r="AB137" s="501" t="s">
        <v>334</v>
      </c>
      <c r="AH137" s="51">
        <v>2014</v>
      </c>
      <c r="AI137" s="52">
        <v>2015</v>
      </c>
      <c r="AJ137" s="52">
        <v>2016</v>
      </c>
      <c r="AK137" s="52">
        <v>2017</v>
      </c>
      <c r="AL137" s="52">
        <v>2018</v>
      </c>
      <c r="AM137" s="53">
        <v>2019</v>
      </c>
      <c r="AN137" s="53">
        <v>2020</v>
      </c>
    </row>
    <row r="138" spans="2:40" x14ac:dyDescent="0.25">
      <c r="B138" s="20" t="s">
        <v>89</v>
      </c>
      <c r="C138" s="886" t="s">
        <v>286</v>
      </c>
      <c r="D138" s="887"/>
      <c r="E138" s="81">
        <v>20.801279999999998</v>
      </c>
      <c r="F138" s="82">
        <v>67.315200000000004</v>
      </c>
      <c r="G138" s="82">
        <v>19.092479999999998</v>
      </c>
      <c r="H138" s="83">
        <v>42.498559999999998</v>
      </c>
      <c r="I138" s="81">
        <v>7.1667200000000006</v>
      </c>
      <c r="J138" s="82">
        <v>13.437439999999999</v>
      </c>
      <c r="K138" s="82">
        <v>52.915199999999999</v>
      </c>
      <c r="L138" s="159">
        <v>106.49984000000001</v>
      </c>
      <c r="M138" s="157">
        <v>16.798719999999999</v>
      </c>
      <c r="N138" s="158">
        <v>11.8848</v>
      </c>
      <c r="O138" s="158">
        <v>14.3104</v>
      </c>
      <c r="P138" s="159">
        <v>7.3433600000000006</v>
      </c>
      <c r="Q138" s="157">
        <v>19.782399999999999</v>
      </c>
      <c r="R138" s="158">
        <v>7.9398400000000002</v>
      </c>
      <c r="S138" s="321">
        <v>52.188160000000003</v>
      </c>
      <c r="T138" s="504">
        <v>48.160000000000004</v>
      </c>
      <c r="U138" s="157">
        <v>76.094719999999995</v>
      </c>
      <c r="V138" s="158">
        <v>8.0204800000000009</v>
      </c>
      <c r="W138" s="158">
        <v>9.8252799999999993</v>
      </c>
      <c r="X138" s="159">
        <v>14.498559999999999</v>
      </c>
      <c r="Y138" s="157">
        <v>20.984319999999997</v>
      </c>
      <c r="Z138" s="158">
        <v>36.637440000000005</v>
      </c>
      <c r="AA138" s="158">
        <v>5.2889599999999994</v>
      </c>
      <c r="AB138" s="159">
        <v>16.563200000000002</v>
      </c>
      <c r="AH138" s="81">
        <f t="shared" ref="AH138:AH157" si="32">SUM(E138:H138)</f>
        <v>149.70751999999999</v>
      </c>
      <c r="AI138" s="82">
        <f t="shared" ref="AI138:AI157" si="33">SUM(I138:L138)</f>
        <v>180.01920000000001</v>
      </c>
      <c r="AJ138" s="82">
        <f t="shared" ref="AJ138:AJ157" si="34">SUM(M138:P138)</f>
        <v>50.337280000000007</v>
      </c>
      <c r="AK138" s="82">
        <f t="shared" ref="AK138:AK157" si="35">SUM(Q138:T138)</f>
        <v>128.07040000000001</v>
      </c>
      <c r="AL138" s="82">
        <f t="shared" ref="AL138:AL157" si="36">SUM(U138:X138)</f>
        <v>108.43904000000001</v>
      </c>
      <c r="AM138" s="83">
        <f t="shared" ref="AM138:AM157" si="37">SUM(Y138:AB138)</f>
        <v>79.473919999999993</v>
      </c>
      <c r="AN138" s="88">
        <f t="shared" ref="AN138:AN157" si="38">SUM(AC138:AF138)</f>
        <v>0</v>
      </c>
    </row>
    <row r="139" spans="2:40" x14ac:dyDescent="0.25">
      <c r="B139" s="21" t="s">
        <v>90</v>
      </c>
      <c r="C139" s="890"/>
      <c r="D139" s="891"/>
      <c r="E139" s="86">
        <v>19.85792</v>
      </c>
      <c r="F139" s="87">
        <v>67.315200000000004</v>
      </c>
      <c r="G139" s="87">
        <v>18.46144</v>
      </c>
      <c r="H139" s="88">
        <v>13.052159999999999</v>
      </c>
      <c r="I139" s="86">
        <v>7.1667200000000006</v>
      </c>
      <c r="J139" s="87">
        <v>13.437439999999999</v>
      </c>
      <c r="K139" s="87">
        <v>52.12032</v>
      </c>
      <c r="L139" s="505">
        <v>42.406400000000005</v>
      </c>
      <c r="M139" s="153">
        <v>16.125440000000001</v>
      </c>
      <c r="N139" s="154">
        <v>11.87968</v>
      </c>
      <c r="O139" s="154">
        <v>13.711359999999999</v>
      </c>
      <c r="P139" s="505">
        <v>7.3433600000000006</v>
      </c>
      <c r="Q139" s="153">
        <v>19.782399999999999</v>
      </c>
      <c r="R139" s="154">
        <v>7.9398400000000002</v>
      </c>
      <c r="S139" s="322">
        <v>52.151040000000002</v>
      </c>
      <c r="T139" s="506">
        <v>47.937280000000001</v>
      </c>
      <c r="U139" s="153">
        <v>13.510400000000001</v>
      </c>
      <c r="V139" s="154">
        <v>8.0204800000000009</v>
      </c>
      <c r="W139" s="154">
        <v>8.3583999999999996</v>
      </c>
      <c r="X139" s="505">
        <v>12.144639999999999</v>
      </c>
      <c r="Y139" s="153">
        <v>8.1663999999999994</v>
      </c>
      <c r="Z139" s="154">
        <v>36.637440000000005</v>
      </c>
      <c r="AA139" s="154">
        <v>5.2889599999999994</v>
      </c>
      <c r="AB139" s="505">
        <v>3.7631999999999999</v>
      </c>
      <c r="AH139" s="86">
        <f t="shared" si="32"/>
        <v>118.68672000000001</v>
      </c>
      <c r="AI139" s="87">
        <f t="shared" si="33"/>
        <v>115.13088</v>
      </c>
      <c r="AJ139" s="87">
        <f t="shared" si="34"/>
        <v>49.059840000000008</v>
      </c>
      <c r="AK139" s="87">
        <f t="shared" si="35"/>
        <v>127.81056</v>
      </c>
      <c r="AL139" s="87">
        <f t="shared" si="36"/>
        <v>42.033920000000002</v>
      </c>
      <c r="AM139" s="88">
        <f t="shared" si="37"/>
        <v>53.856000000000009</v>
      </c>
      <c r="AN139" s="88">
        <f t="shared" si="38"/>
        <v>0</v>
      </c>
    </row>
    <row r="140" spans="2:40" x14ac:dyDescent="0.25">
      <c r="B140" s="22" t="s">
        <v>177</v>
      </c>
      <c r="C140" s="892" t="s">
        <v>287</v>
      </c>
      <c r="D140" s="893"/>
      <c r="E140" s="91">
        <v>0</v>
      </c>
      <c r="F140" s="92">
        <v>2.0480000000000002E-2</v>
      </c>
      <c r="G140" s="92">
        <v>0.17664000000000002</v>
      </c>
      <c r="H140" s="93">
        <v>9.6000000000000002E-2</v>
      </c>
      <c r="I140" s="91">
        <v>0</v>
      </c>
      <c r="J140" s="92">
        <v>0.23296</v>
      </c>
      <c r="K140" s="92">
        <v>0.38912000000000002</v>
      </c>
      <c r="L140" s="507">
        <v>0.16128000000000001</v>
      </c>
      <c r="M140" s="508">
        <v>8.9600000000000009E-3</v>
      </c>
      <c r="N140" s="509">
        <v>0.23680000000000001</v>
      </c>
      <c r="O140" s="509">
        <v>0.20608000000000001</v>
      </c>
      <c r="P140" s="507">
        <v>7.5520000000000004E-2</v>
      </c>
      <c r="Q140" s="508">
        <v>0</v>
      </c>
      <c r="R140" s="509">
        <v>0</v>
      </c>
      <c r="S140" s="510">
        <v>0</v>
      </c>
      <c r="T140" s="511">
        <v>0</v>
      </c>
      <c r="U140" s="508">
        <v>0</v>
      </c>
      <c r="V140" s="509">
        <v>0</v>
      </c>
      <c r="W140" s="509">
        <v>0</v>
      </c>
      <c r="X140" s="507">
        <v>0</v>
      </c>
      <c r="Y140" s="508">
        <v>0</v>
      </c>
      <c r="Z140" s="509">
        <v>0</v>
      </c>
      <c r="AA140" s="509">
        <v>0</v>
      </c>
      <c r="AB140" s="507">
        <v>0</v>
      </c>
      <c r="AH140" s="91">
        <f t="shared" si="32"/>
        <v>0.29312000000000005</v>
      </c>
      <c r="AI140" s="92">
        <f t="shared" si="33"/>
        <v>0.78335999999999995</v>
      </c>
      <c r="AJ140" s="92">
        <f t="shared" si="34"/>
        <v>0.52736000000000005</v>
      </c>
      <c r="AK140" s="92">
        <f t="shared" si="35"/>
        <v>0</v>
      </c>
      <c r="AL140" s="92">
        <f t="shared" si="36"/>
        <v>0</v>
      </c>
      <c r="AM140" s="93">
        <f t="shared" si="37"/>
        <v>0</v>
      </c>
      <c r="AN140" s="93">
        <f t="shared" si="38"/>
        <v>0</v>
      </c>
    </row>
    <row r="141" spans="2:40" ht="15.75" thickBot="1" x14ac:dyDescent="0.3">
      <c r="B141" s="23" t="s">
        <v>178</v>
      </c>
      <c r="C141" s="896"/>
      <c r="D141" s="897"/>
      <c r="E141" s="96">
        <v>0</v>
      </c>
      <c r="F141" s="97">
        <v>2.0480000000000002E-2</v>
      </c>
      <c r="G141" s="97">
        <v>0.17664000000000002</v>
      </c>
      <c r="H141" s="98">
        <v>9.6000000000000002E-2</v>
      </c>
      <c r="I141" s="91">
        <v>0</v>
      </c>
      <c r="J141" s="92">
        <v>0.23296</v>
      </c>
      <c r="K141" s="92">
        <v>0.38912000000000002</v>
      </c>
      <c r="L141" s="507">
        <v>0.16128000000000001</v>
      </c>
      <c r="M141" s="508">
        <v>8.9600000000000009E-3</v>
      </c>
      <c r="N141" s="509">
        <v>0.23680000000000001</v>
      </c>
      <c r="O141" s="509">
        <v>0.20608000000000001</v>
      </c>
      <c r="P141" s="507">
        <v>7.5520000000000004E-2</v>
      </c>
      <c r="Q141" s="508">
        <v>0</v>
      </c>
      <c r="R141" s="509">
        <v>0</v>
      </c>
      <c r="S141" s="510">
        <v>0</v>
      </c>
      <c r="T141" s="511">
        <v>0</v>
      </c>
      <c r="U141" s="508">
        <v>0</v>
      </c>
      <c r="V141" s="509">
        <v>0</v>
      </c>
      <c r="W141" s="509">
        <v>0</v>
      </c>
      <c r="X141" s="507">
        <v>0</v>
      </c>
      <c r="Y141" s="508">
        <v>0</v>
      </c>
      <c r="Z141" s="509">
        <v>0</v>
      </c>
      <c r="AA141" s="509">
        <v>0</v>
      </c>
      <c r="AB141" s="507">
        <v>0</v>
      </c>
      <c r="AH141" s="91">
        <f t="shared" si="32"/>
        <v>0.29312000000000005</v>
      </c>
      <c r="AI141" s="92">
        <f t="shared" si="33"/>
        <v>0.78335999999999995</v>
      </c>
      <c r="AJ141" s="92">
        <f t="shared" si="34"/>
        <v>0.52736000000000005</v>
      </c>
      <c r="AK141" s="92">
        <f t="shared" si="35"/>
        <v>0</v>
      </c>
      <c r="AL141" s="92">
        <f t="shared" si="36"/>
        <v>0</v>
      </c>
      <c r="AM141" s="93">
        <f t="shared" si="37"/>
        <v>0</v>
      </c>
      <c r="AN141" s="93">
        <f t="shared" si="38"/>
        <v>0</v>
      </c>
    </row>
    <row r="142" spans="2:40" ht="15.75" thickBot="1" x14ac:dyDescent="0.3">
      <c r="B142" s="20" t="s">
        <v>177</v>
      </c>
      <c r="C142" s="886" t="s">
        <v>289</v>
      </c>
      <c r="D142" s="887"/>
      <c r="E142" s="81">
        <v>33101.701119999998</v>
      </c>
      <c r="F142" s="82">
        <v>34727.818240000001</v>
      </c>
      <c r="G142" s="82">
        <v>32633.118719999999</v>
      </c>
      <c r="H142" s="83">
        <v>31340.071680000001</v>
      </c>
      <c r="I142" s="81">
        <v>31822.77504</v>
      </c>
      <c r="J142" s="82">
        <v>31785.857280000004</v>
      </c>
      <c r="K142" s="82">
        <v>37693.05472</v>
      </c>
      <c r="L142" s="159">
        <v>44443.130879999997</v>
      </c>
      <c r="M142" s="157">
        <v>49436.04608</v>
      </c>
      <c r="N142" s="158">
        <v>59941.885439999998</v>
      </c>
      <c r="O142" s="158">
        <v>48350.448640000002</v>
      </c>
      <c r="P142" s="159">
        <v>39221.384959999996</v>
      </c>
      <c r="Q142" s="157">
        <v>40179.110400000005</v>
      </c>
      <c r="R142" s="158">
        <v>37663.23328</v>
      </c>
      <c r="S142" s="321">
        <v>32649.658880000003</v>
      </c>
      <c r="T142" s="504">
        <v>35915.846400000002</v>
      </c>
      <c r="U142" s="157">
        <v>37853.793279999998</v>
      </c>
      <c r="V142" s="158">
        <v>32656.115200000004</v>
      </c>
      <c r="W142" s="158">
        <v>33668.053759999995</v>
      </c>
      <c r="X142" s="159">
        <v>39082.082559999995</v>
      </c>
      <c r="Y142" s="157">
        <v>42159.688959999999</v>
      </c>
      <c r="Z142" s="158">
        <v>46885.701120000005</v>
      </c>
      <c r="AA142" s="158">
        <v>48819.83872</v>
      </c>
      <c r="AB142" s="159">
        <v>58573.271039999992</v>
      </c>
      <c r="AH142" s="81">
        <f t="shared" si="32"/>
        <v>131802.70976</v>
      </c>
      <c r="AI142" s="82">
        <f t="shared" si="33"/>
        <v>145744.81792</v>
      </c>
      <c r="AJ142" s="82">
        <f t="shared" si="34"/>
        <v>196949.76512</v>
      </c>
      <c r="AK142" s="82">
        <f t="shared" si="35"/>
        <v>146407.84896</v>
      </c>
      <c r="AL142" s="82">
        <f t="shared" si="36"/>
        <v>143260.04479999997</v>
      </c>
      <c r="AM142" s="83">
        <f t="shared" si="37"/>
        <v>196438.49984</v>
      </c>
      <c r="AN142" s="83">
        <f t="shared" si="38"/>
        <v>0</v>
      </c>
    </row>
    <row r="143" spans="2:40" x14ac:dyDescent="0.25">
      <c r="B143" s="21" t="s">
        <v>178</v>
      </c>
      <c r="C143" s="890"/>
      <c r="D143" s="891"/>
      <c r="E143" s="86">
        <v>12335.68</v>
      </c>
      <c r="F143" s="87">
        <v>15629.477120000001</v>
      </c>
      <c r="G143" s="87">
        <v>14426.02368</v>
      </c>
      <c r="H143" s="88">
        <v>13153.637120000001</v>
      </c>
      <c r="I143" s="86">
        <v>11092.872960000001</v>
      </c>
      <c r="J143" s="87">
        <v>13041.63456</v>
      </c>
      <c r="K143" s="87">
        <v>18241.079040000001</v>
      </c>
      <c r="L143" s="505">
        <v>20518.679040000003</v>
      </c>
      <c r="M143" s="153">
        <v>22678.984959999998</v>
      </c>
      <c r="N143" s="154">
        <v>26992.545279999998</v>
      </c>
      <c r="O143" s="154">
        <v>25748.133119999999</v>
      </c>
      <c r="P143" s="505">
        <v>17320.729599999999</v>
      </c>
      <c r="Q143" s="153">
        <v>19668.981759999999</v>
      </c>
      <c r="R143" s="154">
        <v>17227.81696</v>
      </c>
      <c r="S143" s="322">
        <v>12478.708480000001</v>
      </c>
      <c r="T143" s="506">
        <v>12560.846080000001</v>
      </c>
      <c r="U143" s="153">
        <v>12663.596799999999</v>
      </c>
      <c r="V143" s="154">
        <v>11460.290560000001</v>
      </c>
      <c r="W143" s="154">
        <v>11826.49728</v>
      </c>
      <c r="X143" s="505">
        <v>13696.294399999999</v>
      </c>
      <c r="Y143" s="153">
        <v>16768.508160000001</v>
      </c>
      <c r="Z143" s="154">
        <v>20454.103040000002</v>
      </c>
      <c r="AA143" s="154">
        <v>22707.93088</v>
      </c>
      <c r="AB143" s="505">
        <v>25318.209279999999</v>
      </c>
      <c r="AH143" s="86">
        <f t="shared" si="32"/>
        <v>55544.817920000001</v>
      </c>
      <c r="AI143" s="87">
        <f t="shared" si="33"/>
        <v>62894.265599999999</v>
      </c>
      <c r="AJ143" s="87">
        <f t="shared" si="34"/>
        <v>92740.392959999997</v>
      </c>
      <c r="AK143" s="87">
        <f t="shared" si="35"/>
        <v>61936.353280000003</v>
      </c>
      <c r="AL143" s="87">
        <f t="shared" si="36"/>
        <v>49646.679040000003</v>
      </c>
      <c r="AM143" s="88">
        <f t="shared" si="37"/>
        <v>85248.751359999995</v>
      </c>
      <c r="AN143" s="83">
        <f t="shared" si="38"/>
        <v>0</v>
      </c>
    </row>
    <row r="144" spans="2:40" x14ac:dyDescent="0.25">
      <c r="B144" s="22" t="s">
        <v>177</v>
      </c>
      <c r="C144" s="892" t="s">
        <v>288</v>
      </c>
      <c r="D144" s="893"/>
      <c r="E144" s="91">
        <v>2068.7641600000002</v>
      </c>
      <c r="F144" s="92">
        <v>2181.5808000000002</v>
      </c>
      <c r="G144" s="92">
        <v>1657.0252800000001</v>
      </c>
      <c r="H144" s="93">
        <v>2283.57888</v>
      </c>
      <c r="I144" s="91">
        <v>1758.7187199999998</v>
      </c>
      <c r="J144" s="92">
        <v>1874.9145599999999</v>
      </c>
      <c r="K144" s="92">
        <v>1731.7273600000003</v>
      </c>
      <c r="L144" s="507">
        <v>2123.09888</v>
      </c>
      <c r="M144" s="508">
        <v>3177.2364800000005</v>
      </c>
      <c r="N144" s="509">
        <v>2008.7360000000001</v>
      </c>
      <c r="O144" s="509">
        <v>2004.0063999999998</v>
      </c>
      <c r="P144" s="507">
        <v>2268.74496</v>
      </c>
      <c r="Q144" s="508">
        <v>2802.3884800000001</v>
      </c>
      <c r="R144" s="509">
        <v>2310.76224</v>
      </c>
      <c r="S144" s="510">
        <v>1366.6880000000001</v>
      </c>
      <c r="T144" s="511">
        <v>2377.3107199999999</v>
      </c>
      <c r="U144" s="508">
        <v>2399.5763200000001</v>
      </c>
      <c r="V144" s="509">
        <v>1613.9878400000002</v>
      </c>
      <c r="W144" s="509">
        <v>1284.4377600000003</v>
      </c>
      <c r="X144" s="507">
        <v>1682.1056000000003</v>
      </c>
      <c r="Y144" s="508">
        <v>2146.2131199999999</v>
      </c>
      <c r="Z144" s="509">
        <v>1882.6995200000001</v>
      </c>
      <c r="AA144" s="509">
        <v>1033.73568</v>
      </c>
      <c r="AB144" s="507">
        <v>2460.3968000000004</v>
      </c>
      <c r="AH144" s="91">
        <f t="shared" si="32"/>
        <v>8190.9491200000002</v>
      </c>
      <c r="AI144" s="92">
        <f t="shared" si="33"/>
        <v>7488.4595200000003</v>
      </c>
      <c r="AJ144" s="92">
        <f t="shared" si="34"/>
        <v>9458.7238400000006</v>
      </c>
      <c r="AK144" s="92">
        <f t="shared" si="35"/>
        <v>8857.1494399999992</v>
      </c>
      <c r="AL144" s="92">
        <f t="shared" si="36"/>
        <v>6980.1075200000014</v>
      </c>
      <c r="AM144" s="93">
        <f t="shared" si="37"/>
        <v>7523.0451200000007</v>
      </c>
      <c r="AN144" s="93">
        <f t="shared" si="38"/>
        <v>0</v>
      </c>
    </row>
    <row r="145" spans="2:40" ht="15.75" thickBot="1" x14ac:dyDescent="0.3">
      <c r="B145" s="24" t="s">
        <v>178</v>
      </c>
      <c r="C145" s="896"/>
      <c r="D145" s="897"/>
      <c r="E145" s="96">
        <v>773.77408000000003</v>
      </c>
      <c r="F145" s="97">
        <v>752.86911999999995</v>
      </c>
      <c r="G145" s="97">
        <v>572.89599999999996</v>
      </c>
      <c r="H145" s="98">
        <v>991.12448000000006</v>
      </c>
      <c r="I145" s="96">
        <v>963.89631999999995</v>
      </c>
      <c r="J145" s="97">
        <v>520.42751999999996</v>
      </c>
      <c r="K145" s="97">
        <v>485.58208000000002</v>
      </c>
      <c r="L145" s="512">
        <v>699.58016000000009</v>
      </c>
      <c r="M145" s="513">
        <v>1008.8960000000001</v>
      </c>
      <c r="N145" s="514">
        <v>636.03711999999996</v>
      </c>
      <c r="O145" s="514">
        <v>736.17791999999997</v>
      </c>
      <c r="P145" s="512">
        <v>924.66176000000007</v>
      </c>
      <c r="Q145" s="513">
        <v>607.40863999999999</v>
      </c>
      <c r="R145" s="514">
        <v>623.22432000000003</v>
      </c>
      <c r="S145" s="515">
        <v>389.75743999999997</v>
      </c>
      <c r="T145" s="516">
        <v>685.52192000000002</v>
      </c>
      <c r="U145" s="513">
        <v>689.48991999999998</v>
      </c>
      <c r="V145" s="514">
        <v>589.59616000000005</v>
      </c>
      <c r="W145" s="514">
        <v>404.98688000000004</v>
      </c>
      <c r="X145" s="512">
        <v>615.46752000000004</v>
      </c>
      <c r="Y145" s="513">
        <v>624.91007999999999</v>
      </c>
      <c r="Z145" s="514">
        <v>691.27296000000001</v>
      </c>
      <c r="AA145" s="514">
        <v>399.63135999999997</v>
      </c>
      <c r="AB145" s="512">
        <v>466.45632000000001</v>
      </c>
      <c r="AH145" s="96">
        <f t="shared" si="32"/>
        <v>3090.6636800000001</v>
      </c>
      <c r="AI145" s="97">
        <f t="shared" si="33"/>
        <v>2669.4860800000001</v>
      </c>
      <c r="AJ145" s="97">
        <f t="shared" si="34"/>
        <v>3305.7728000000002</v>
      </c>
      <c r="AK145" s="97">
        <f t="shared" si="35"/>
        <v>2305.9123199999999</v>
      </c>
      <c r="AL145" s="97">
        <f t="shared" si="36"/>
        <v>2299.5404800000001</v>
      </c>
      <c r="AM145" s="98">
        <f t="shared" si="37"/>
        <v>2182.2707199999995</v>
      </c>
      <c r="AN145" s="93">
        <f t="shared" si="38"/>
        <v>0</v>
      </c>
    </row>
    <row r="146" spans="2:40" ht="15.75" thickBot="1" x14ac:dyDescent="0.3">
      <c r="B146" s="20" t="s">
        <v>177</v>
      </c>
      <c r="C146" s="886" t="s">
        <v>291</v>
      </c>
      <c r="D146" s="887"/>
      <c r="E146" s="81">
        <v>160046.52416</v>
      </c>
      <c r="F146" s="82">
        <v>154719.74656</v>
      </c>
      <c r="G146" s="82">
        <v>149153.34400000001</v>
      </c>
      <c r="H146" s="83">
        <v>154282.27328000002</v>
      </c>
      <c r="I146" s="81">
        <v>148276.26751999999</v>
      </c>
      <c r="J146" s="82">
        <v>135249.728</v>
      </c>
      <c r="K146" s="82">
        <v>148620.27648</v>
      </c>
      <c r="L146" s="159">
        <v>159183.85279999999</v>
      </c>
      <c r="M146" s="157">
        <v>157000.22143999999</v>
      </c>
      <c r="N146" s="158">
        <v>159981.18144000001</v>
      </c>
      <c r="O146" s="158">
        <v>146523.90527999998</v>
      </c>
      <c r="P146" s="159">
        <v>144151.01568000001</v>
      </c>
      <c r="Q146" s="157">
        <v>134449.45535999999</v>
      </c>
      <c r="R146" s="158">
        <v>136885.00096</v>
      </c>
      <c r="S146" s="321">
        <v>142847.29983999999</v>
      </c>
      <c r="T146" s="504">
        <v>156698.62272000001</v>
      </c>
      <c r="U146" s="157">
        <v>152637.49504000001</v>
      </c>
      <c r="V146" s="158">
        <v>139492.65024000002</v>
      </c>
      <c r="W146" s="158">
        <v>135778.20543999999</v>
      </c>
      <c r="X146" s="159">
        <v>147939.57248</v>
      </c>
      <c r="Y146" s="157">
        <v>157576.34048000001</v>
      </c>
      <c r="Z146" s="158">
        <v>156691.14368000001</v>
      </c>
      <c r="AA146" s="158">
        <v>153188.97151999999</v>
      </c>
      <c r="AB146" s="159">
        <v>171889.05856</v>
      </c>
      <c r="AH146" s="81">
        <f>SUM(E146:H146)</f>
        <v>618201.88800000004</v>
      </c>
      <c r="AI146" s="82">
        <f t="shared" si="33"/>
        <v>591330.12479999999</v>
      </c>
      <c r="AJ146" s="82">
        <f t="shared" si="34"/>
        <v>607656.32383999997</v>
      </c>
      <c r="AK146" s="82">
        <f t="shared" si="35"/>
        <v>570880.37887999997</v>
      </c>
      <c r="AL146" s="82">
        <f t="shared" si="36"/>
        <v>575847.92320000008</v>
      </c>
      <c r="AM146" s="83">
        <f t="shared" si="37"/>
        <v>639345.51424000005</v>
      </c>
      <c r="AN146" s="83">
        <f t="shared" si="38"/>
        <v>0</v>
      </c>
    </row>
    <row r="147" spans="2:40" x14ac:dyDescent="0.25">
      <c r="B147" s="21" t="s">
        <v>178</v>
      </c>
      <c r="C147" s="890"/>
      <c r="D147" s="891"/>
      <c r="E147" s="86">
        <v>55124.238080000003</v>
      </c>
      <c r="F147" s="87">
        <v>56620.418559999998</v>
      </c>
      <c r="G147" s="87">
        <v>51887.777280000002</v>
      </c>
      <c r="H147" s="88">
        <v>52135.057920000007</v>
      </c>
      <c r="I147" s="86">
        <v>47532.753920000003</v>
      </c>
      <c r="J147" s="87">
        <v>45478.141440000007</v>
      </c>
      <c r="K147" s="87">
        <v>50699.205119999999</v>
      </c>
      <c r="L147" s="505">
        <v>53832.189440000002</v>
      </c>
      <c r="M147" s="153">
        <v>56992.113920000003</v>
      </c>
      <c r="N147" s="154">
        <v>58270.019840000001</v>
      </c>
      <c r="O147" s="154">
        <v>54194.476799999997</v>
      </c>
      <c r="P147" s="505">
        <v>50111.522560000005</v>
      </c>
      <c r="Q147" s="153">
        <v>49948.922879999998</v>
      </c>
      <c r="R147" s="154">
        <v>49052.912640000002</v>
      </c>
      <c r="S147" s="322">
        <v>47774.94528</v>
      </c>
      <c r="T147" s="506">
        <v>52473.652479999997</v>
      </c>
      <c r="U147" s="153">
        <v>50468.651519999999</v>
      </c>
      <c r="V147" s="154">
        <v>47843.306239999998</v>
      </c>
      <c r="W147" s="154">
        <v>44112.491519999996</v>
      </c>
      <c r="X147" s="505">
        <v>48531.996160000002</v>
      </c>
      <c r="Y147" s="153">
        <v>55476.976640000001</v>
      </c>
      <c r="Z147" s="154">
        <v>56595.701760000004</v>
      </c>
      <c r="AA147" s="154">
        <v>57882.819840000004</v>
      </c>
      <c r="AB147" s="505">
        <v>62181.561600000001</v>
      </c>
      <c r="AH147" s="86">
        <f t="shared" si="32"/>
        <v>215767.49184000003</v>
      </c>
      <c r="AI147" s="87">
        <f t="shared" si="33"/>
        <v>197542.28992000001</v>
      </c>
      <c r="AJ147" s="87">
        <f t="shared" si="34"/>
        <v>219568.13312000001</v>
      </c>
      <c r="AK147" s="87">
        <f t="shared" si="35"/>
        <v>199250.43328</v>
      </c>
      <c r="AL147" s="87">
        <f t="shared" si="36"/>
        <v>190956.44544000001</v>
      </c>
      <c r="AM147" s="88">
        <f t="shared" si="37"/>
        <v>232137.05984</v>
      </c>
      <c r="AN147" s="83">
        <f t="shared" si="38"/>
        <v>0</v>
      </c>
    </row>
    <row r="148" spans="2:40" x14ac:dyDescent="0.25">
      <c r="B148" s="22" t="s">
        <v>177</v>
      </c>
      <c r="C148" s="892" t="s">
        <v>290</v>
      </c>
      <c r="D148" s="893"/>
      <c r="E148" s="91">
        <v>142112.54144</v>
      </c>
      <c r="F148" s="92">
        <v>142429.9712</v>
      </c>
      <c r="G148" s="92">
        <v>143737.50656000001</v>
      </c>
      <c r="H148" s="93">
        <v>144183.48671999999</v>
      </c>
      <c r="I148" s="91">
        <v>143488.67327999999</v>
      </c>
      <c r="J148" s="92">
        <v>137754.11455999999</v>
      </c>
      <c r="K148" s="92">
        <v>136302.70336000001</v>
      </c>
      <c r="L148" s="507">
        <v>132631.86304</v>
      </c>
      <c r="M148" s="508">
        <v>120648.36480000001</v>
      </c>
      <c r="N148" s="509">
        <v>114821.93664</v>
      </c>
      <c r="O148" s="509">
        <v>118038.46528</v>
      </c>
      <c r="P148" s="507">
        <v>113942.53312000001</v>
      </c>
      <c r="Q148" s="508">
        <v>114277.33376000001</v>
      </c>
      <c r="R148" s="509">
        <v>114360.59008000001</v>
      </c>
      <c r="S148" s="510">
        <v>121874.01983999999</v>
      </c>
      <c r="T148" s="511">
        <v>124364.59007999999</v>
      </c>
      <c r="U148" s="508">
        <v>124856.40192</v>
      </c>
      <c r="V148" s="509">
        <v>128028.75904</v>
      </c>
      <c r="W148" s="509">
        <v>117729.08800000002</v>
      </c>
      <c r="X148" s="507">
        <v>120714.77888</v>
      </c>
      <c r="Y148" s="508">
        <v>114865.54496</v>
      </c>
      <c r="Z148" s="509">
        <v>114312.20992000002</v>
      </c>
      <c r="AA148" s="509">
        <v>114490.272</v>
      </c>
      <c r="AB148" s="507">
        <v>113839.37792</v>
      </c>
      <c r="AH148" s="91">
        <f t="shared" si="32"/>
        <v>572463.50591999991</v>
      </c>
      <c r="AI148" s="92">
        <f t="shared" si="33"/>
        <v>550177.35424000002</v>
      </c>
      <c r="AJ148" s="92">
        <f t="shared" si="34"/>
        <v>467451.29983999999</v>
      </c>
      <c r="AK148" s="92">
        <f t="shared" si="35"/>
        <v>474876.53376000002</v>
      </c>
      <c r="AL148" s="92">
        <f t="shared" si="36"/>
        <v>491329.02784</v>
      </c>
      <c r="AM148" s="93">
        <f t="shared" si="37"/>
        <v>457507.40480000002</v>
      </c>
      <c r="AN148" s="93">
        <f t="shared" si="38"/>
        <v>0</v>
      </c>
    </row>
    <row r="149" spans="2:40" ht="15.75" thickBot="1" x14ac:dyDescent="0.3">
      <c r="B149" s="24" t="s">
        <v>178</v>
      </c>
      <c r="C149" s="896"/>
      <c r="D149" s="897"/>
      <c r="E149" s="96">
        <v>45723.444479999998</v>
      </c>
      <c r="F149" s="97">
        <v>44607.874560000004</v>
      </c>
      <c r="G149" s="97">
        <v>45851.504639999999</v>
      </c>
      <c r="H149" s="98">
        <v>50262.652159999998</v>
      </c>
      <c r="I149" s="96">
        <v>46426.421759999997</v>
      </c>
      <c r="J149" s="97">
        <v>47221.621760000002</v>
      </c>
      <c r="K149" s="97">
        <v>45046.645760000007</v>
      </c>
      <c r="L149" s="512">
        <v>42289.690880000002</v>
      </c>
      <c r="M149" s="513">
        <v>36110.791680000002</v>
      </c>
      <c r="N149" s="514">
        <v>35437.964800000002</v>
      </c>
      <c r="O149" s="514">
        <v>35327.232000000004</v>
      </c>
      <c r="P149" s="512">
        <v>36316.979200000002</v>
      </c>
      <c r="Q149" s="513">
        <v>33090.295040000005</v>
      </c>
      <c r="R149" s="514">
        <v>36519.682560000001</v>
      </c>
      <c r="S149" s="515">
        <v>38657.114880000001</v>
      </c>
      <c r="T149" s="516">
        <v>38022.60224</v>
      </c>
      <c r="U149" s="513">
        <v>35316.180480000003</v>
      </c>
      <c r="V149" s="514">
        <v>36452.590080000002</v>
      </c>
      <c r="W149" s="514">
        <v>33642.147839999998</v>
      </c>
      <c r="X149" s="512">
        <v>33971.091200000003</v>
      </c>
      <c r="Y149" s="513">
        <v>32197.950720000001</v>
      </c>
      <c r="Z149" s="514">
        <v>33719.644160000003</v>
      </c>
      <c r="AA149" s="514">
        <v>35161.235200000003</v>
      </c>
      <c r="AB149" s="512">
        <v>33494.174720000003</v>
      </c>
      <c r="AH149" s="96">
        <f t="shared" si="32"/>
        <v>186445.47584</v>
      </c>
      <c r="AI149" s="97">
        <f t="shared" si="33"/>
        <v>180984.38016000003</v>
      </c>
      <c r="AJ149" s="97">
        <f t="shared" si="34"/>
        <v>143192.96768</v>
      </c>
      <c r="AK149" s="97">
        <f t="shared" si="35"/>
        <v>146289.69472000003</v>
      </c>
      <c r="AL149" s="97">
        <f t="shared" si="36"/>
        <v>139382.00959999999</v>
      </c>
      <c r="AM149" s="98">
        <f t="shared" si="37"/>
        <v>134573.00480000002</v>
      </c>
      <c r="AN149" s="93">
        <f t="shared" si="38"/>
        <v>0</v>
      </c>
    </row>
    <row r="150" spans="2:40" ht="15.75" thickBot="1" x14ac:dyDescent="0.3">
      <c r="B150" s="108" t="s">
        <v>177</v>
      </c>
      <c r="C150" s="886" t="s">
        <v>273</v>
      </c>
      <c r="D150" s="887"/>
      <c r="E150" s="81">
        <v>2910.08</v>
      </c>
      <c r="F150" s="82">
        <v>3801.4719999999998</v>
      </c>
      <c r="G150" s="82">
        <v>4454.0159999999996</v>
      </c>
      <c r="H150" s="83">
        <v>5410.0479999999998</v>
      </c>
      <c r="I150" s="81">
        <v>4976.8959999999997</v>
      </c>
      <c r="J150" s="82">
        <v>4264.8320000000003</v>
      </c>
      <c r="K150" s="82">
        <v>4225.152</v>
      </c>
      <c r="L150" s="159">
        <v>5775.4879999999994</v>
      </c>
      <c r="M150" s="157">
        <v>7948.9279999999999</v>
      </c>
      <c r="N150" s="158">
        <v>7801.2160000000003</v>
      </c>
      <c r="O150" s="158">
        <v>4922.7519999999995</v>
      </c>
      <c r="P150" s="159">
        <v>6045.44</v>
      </c>
      <c r="Q150" s="157">
        <v>9495.2960000000003</v>
      </c>
      <c r="R150" s="158">
        <v>6231.5519999999997</v>
      </c>
      <c r="S150" s="321">
        <v>6147.0720000000001</v>
      </c>
      <c r="T150" s="504">
        <v>10007.423999999999</v>
      </c>
      <c r="U150" s="157">
        <v>9484.0319999999992</v>
      </c>
      <c r="V150" s="158">
        <v>6188.6720000000005</v>
      </c>
      <c r="W150" s="158">
        <v>8006.6560000000009</v>
      </c>
      <c r="X150" s="159">
        <v>7904.2560000000003</v>
      </c>
      <c r="Y150" s="157">
        <v>7486.4639999999999</v>
      </c>
      <c r="Z150" s="158">
        <v>7697.92</v>
      </c>
      <c r="AA150" s="158">
        <v>6278.5280000000002</v>
      </c>
      <c r="AB150" s="159">
        <v>5862.4</v>
      </c>
      <c r="AH150" s="81">
        <f t="shared" si="32"/>
        <v>16575.615999999998</v>
      </c>
      <c r="AI150" s="82">
        <f t="shared" si="33"/>
        <v>19242.367999999999</v>
      </c>
      <c r="AJ150" s="82">
        <f t="shared" si="34"/>
        <v>26718.335999999999</v>
      </c>
      <c r="AK150" s="82">
        <f t="shared" si="35"/>
        <v>31881.343999999997</v>
      </c>
      <c r="AL150" s="82">
        <f t="shared" si="36"/>
        <v>31583.616000000002</v>
      </c>
      <c r="AM150" s="83">
        <f t="shared" si="37"/>
        <v>27325.311999999998</v>
      </c>
      <c r="AN150" s="83">
        <f t="shared" si="38"/>
        <v>0</v>
      </c>
    </row>
    <row r="151" spans="2:40" x14ac:dyDescent="0.25">
      <c r="B151" s="109" t="s">
        <v>178</v>
      </c>
      <c r="C151" s="890"/>
      <c r="D151" s="891"/>
      <c r="E151" s="86">
        <v>1201.92</v>
      </c>
      <c r="F151" s="87">
        <v>1684.864</v>
      </c>
      <c r="G151" s="87">
        <v>1978.4960000000001</v>
      </c>
      <c r="H151" s="88">
        <v>1822.336</v>
      </c>
      <c r="I151" s="86">
        <v>1677.184</v>
      </c>
      <c r="J151" s="87">
        <v>1918.9760000000001</v>
      </c>
      <c r="K151" s="87">
        <v>2140.4160000000002</v>
      </c>
      <c r="L151" s="505">
        <v>3132.9279999999999</v>
      </c>
      <c r="M151" s="153">
        <v>3867.7759999999998</v>
      </c>
      <c r="N151" s="154">
        <v>3338.4959999999996</v>
      </c>
      <c r="O151" s="154">
        <v>1657.856</v>
      </c>
      <c r="P151" s="505">
        <v>2159.1039999999998</v>
      </c>
      <c r="Q151" s="153">
        <v>2487.2960000000003</v>
      </c>
      <c r="R151" s="154">
        <v>1822.336</v>
      </c>
      <c r="S151" s="322">
        <v>1436.8</v>
      </c>
      <c r="T151" s="506">
        <v>2155.2640000000001</v>
      </c>
      <c r="U151" s="153">
        <v>2407.808</v>
      </c>
      <c r="V151" s="154">
        <v>1672.8320000000001</v>
      </c>
      <c r="W151" s="154">
        <v>2118.0160000000001</v>
      </c>
      <c r="X151" s="505">
        <v>1765.8880000000001</v>
      </c>
      <c r="Y151" s="153">
        <v>1689.9839999999999</v>
      </c>
      <c r="Z151" s="154">
        <v>2549.248</v>
      </c>
      <c r="AA151" s="154">
        <v>1564.4159999999999</v>
      </c>
      <c r="AB151" s="505">
        <v>1397.8879999999999</v>
      </c>
      <c r="AH151" s="86">
        <f t="shared" si="32"/>
        <v>6687.6160000000009</v>
      </c>
      <c r="AI151" s="87">
        <f t="shared" si="33"/>
        <v>8869.5040000000008</v>
      </c>
      <c r="AJ151" s="87">
        <f t="shared" si="34"/>
        <v>11023.231999999998</v>
      </c>
      <c r="AK151" s="87">
        <f t="shared" si="35"/>
        <v>7901.6960000000008</v>
      </c>
      <c r="AL151" s="87">
        <f t="shared" si="36"/>
        <v>7964.5440000000008</v>
      </c>
      <c r="AM151" s="88">
        <f t="shared" si="37"/>
        <v>7201.5360000000001</v>
      </c>
      <c r="AN151" s="83">
        <f t="shared" si="38"/>
        <v>0</v>
      </c>
    </row>
    <row r="152" spans="2:40" x14ac:dyDescent="0.25">
      <c r="B152" s="110" t="s">
        <v>177</v>
      </c>
      <c r="C152" s="892" t="s">
        <v>274</v>
      </c>
      <c r="D152" s="893"/>
      <c r="E152" s="91">
        <v>31.872</v>
      </c>
      <c r="F152" s="92">
        <v>0</v>
      </c>
      <c r="G152" s="92">
        <v>0</v>
      </c>
      <c r="H152" s="93">
        <v>126.464</v>
      </c>
      <c r="I152" s="91">
        <v>0</v>
      </c>
      <c r="J152" s="92">
        <v>0.128</v>
      </c>
      <c r="K152" s="92">
        <v>21.376000000000001</v>
      </c>
      <c r="L152" s="507">
        <v>0.89600000000000002</v>
      </c>
      <c r="M152" s="508">
        <v>18.048000000000002</v>
      </c>
      <c r="N152" s="509">
        <v>0</v>
      </c>
      <c r="O152" s="509">
        <v>51.328000000000003</v>
      </c>
      <c r="P152" s="507">
        <v>31.872000000000003</v>
      </c>
      <c r="Q152" s="508">
        <v>1.92</v>
      </c>
      <c r="R152" s="509">
        <v>94.335999999999999</v>
      </c>
      <c r="S152" s="510">
        <v>30.72</v>
      </c>
      <c r="T152" s="511">
        <v>185.47200000000001</v>
      </c>
      <c r="U152" s="508">
        <v>24.832000000000001</v>
      </c>
      <c r="V152" s="509">
        <v>141.56800000000001</v>
      </c>
      <c r="W152" s="509">
        <v>75.13600000000001</v>
      </c>
      <c r="X152" s="507">
        <v>162.68800000000002</v>
      </c>
      <c r="Y152" s="508">
        <v>89.984000000000009</v>
      </c>
      <c r="Z152" s="509">
        <v>88.704000000000008</v>
      </c>
      <c r="AA152" s="509">
        <v>0</v>
      </c>
      <c r="AB152" s="507">
        <v>61.44</v>
      </c>
      <c r="AH152" s="91">
        <f t="shared" si="32"/>
        <v>158.33600000000001</v>
      </c>
      <c r="AI152" s="92">
        <f t="shared" si="33"/>
        <v>22.400000000000002</v>
      </c>
      <c r="AJ152" s="92">
        <f t="shared" si="34"/>
        <v>101.248</v>
      </c>
      <c r="AK152" s="92">
        <f t="shared" si="35"/>
        <v>312.44799999999998</v>
      </c>
      <c r="AL152" s="92">
        <f t="shared" si="36"/>
        <v>404.22400000000005</v>
      </c>
      <c r="AM152" s="93">
        <f t="shared" si="37"/>
        <v>240.12800000000001</v>
      </c>
      <c r="AN152" s="93">
        <f t="shared" si="38"/>
        <v>0</v>
      </c>
    </row>
    <row r="153" spans="2:40" ht="15.75" thickBot="1" x14ac:dyDescent="0.3">
      <c r="B153" s="111" t="s">
        <v>178</v>
      </c>
      <c r="C153" s="896"/>
      <c r="D153" s="897"/>
      <c r="E153" s="96">
        <v>0.25600000000000001</v>
      </c>
      <c r="F153" s="97">
        <v>0</v>
      </c>
      <c r="G153" s="97">
        <v>0</v>
      </c>
      <c r="H153" s="98">
        <v>0</v>
      </c>
      <c r="I153" s="96">
        <v>0</v>
      </c>
      <c r="J153" s="97">
        <v>0.128</v>
      </c>
      <c r="K153" s="97">
        <v>20.224</v>
      </c>
      <c r="L153" s="512">
        <v>0.25600000000000001</v>
      </c>
      <c r="M153" s="513">
        <v>0.128</v>
      </c>
      <c r="N153" s="514">
        <v>0</v>
      </c>
      <c r="O153" s="514">
        <v>17.920000000000002</v>
      </c>
      <c r="P153" s="512">
        <v>1.024</v>
      </c>
      <c r="Q153" s="513">
        <v>1.92</v>
      </c>
      <c r="R153" s="514">
        <v>45.311999999999998</v>
      </c>
      <c r="S153" s="515">
        <v>30.72</v>
      </c>
      <c r="T153" s="516">
        <v>14.592000000000001</v>
      </c>
      <c r="U153" s="513">
        <v>0</v>
      </c>
      <c r="V153" s="514">
        <v>86.016000000000005</v>
      </c>
      <c r="W153" s="514">
        <v>44.672000000000004</v>
      </c>
      <c r="X153" s="512">
        <v>121.47200000000001</v>
      </c>
      <c r="Y153" s="513">
        <v>57.984000000000002</v>
      </c>
      <c r="Z153" s="514">
        <v>63.616</v>
      </c>
      <c r="AA153" s="514">
        <v>0</v>
      </c>
      <c r="AB153" s="512">
        <v>61.44</v>
      </c>
      <c r="AH153" s="96">
        <f t="shared" si="32"/>
        <v>0.25600000000000001</v>
      </c>
      <c r="AI153" s="97">
        <f t="shared" si="33"/>
        <v>20.608000000000001</v>
      </c>
      <c r="AJ153" s="97">
        <f t="shared" si="34"/>
        <v>19.072000000000003</v>
      </c>
      <c r="AK153" s="97">
        <f t="shared" si="35"/>
        <v>92.543999999999997</v>
      </c>
      <c r="AL153" s="97">
        <f t="shared" si="36"/>
        <v>252.16000000000003</v>
      </c>
      <c r="AM153" s="98">
        <f t="shared" si="37"/>
        <v>183.04</v>
      </c>
      <c r="AN153" s="93">
        <f t="shared" si="38"/>
        <v>0</v>
      </c>
    </row>
    <row r="154" spans="2:40" ht="15.75" thickBot="1" x14ac:dyDescent="0.3">
      <c r="B154" s="112" t="s">
        <v>177</v>
      </c>
      <c r="C154" s="886" t="s">
        <v>275</v>
      </c>
      <c r="D154" s="887"/>
      <c r="E154" s="81">
        <v>468455.29599999997</v>
      </c>
      <c r="F154" s="82">
        <v>506875.26400000008</v>
      </c>
      <c r="G154" s="82">
        <v>554288.12800000003</v>
      </c>
      <c r="H154" s="83">
        <v>604245.37600000005</v>
      </c>
      <c r="I154" s="81">
        <v>525151.87199999997</v>
      </c>
      <c r="J154" s="82">
        <v>511563.00800000003</v>
      </c>
      <c r="K154" s="82">
        <v>610919.80800000008</v>
      </c>
      <c r="L154" s="159">
        <v>706857.08799999999</v>
      </c>
      <c r="M154" s="157">
        <v>699405.82400000002</v>
      </c>
      <c r="N154" s="158">
        <v>914421.12</v>
      </c>
      <c r="O154" s="158">
        <v>727803.64800000004</v>
      </c>
      <c r="P154" s="159">
        <v>741604.09600000002</v>
      </c>
      <c r="Q154" s="157">
        <v>760765.18400000012</v>
      </c>
      <c r="R154" s="158">
        <v>643966.848</v>
      </c>
      <c r="S154" s="321">
        <v>649593.98399999994</v>
      </c>
      <c r="T154" s="504">
        <v>760270.59199999995</v>
      </c>
      <c r="U154" s="157">
        <v>744479.87199999997</v>
      </c>
      <c r="V154" s="158">
        <v>673977.21600000001</v>
      </c>
      <c r="W154" s="158">
        <v>686420.22400000005</v>
      </c>
      <c r="X154" s="159">
        <v>784122.24</v>
      </c>
      <c r="Y154" s="157">
        <v>822841.47200000007</v>
      </c>
      <c r="Z154" s="158">
        <v>829379.45600000001</v>
      </c>
      <c r="AA154" s="158">
        <v>849174.65599999996</v>
      </c>
      <c r="AB154" s="159">
        <v>1141594.1120000002</v>
      </c>
      <c r="AH154" s="81">
        <f t="shared" si="32"/>
        <v>2133864.0640000002</v>
      </c>
      <c r="AI154" s="82">
        <f t="shared" si="33"/>
        <v>2354491.7760000001</v>
      </c>
      <c r="AJ154" s="82">
        <f t="shared" si="34"/>
        <v>3083234.6880000001</v>
      </c>
      <c r="AK154" s="82">
        <f t="shared" si="35"/>
        <v>2814596.608</v>
      </c>
      <c r="AL154" s="82">
        <f t="shared" si="36"/>
        <v>2888999.5520000001</v>
      </c>
      <c r="AM154" s="83">
        <f t="shared" si="37"/>
        <v>3642989.696</v>
      </c>
      <c r="AN154" s="83">
        <f t="shared" si="38"/>
        <v>0</v>
      </c>
    </row>
    <row r="155" spans="2:40" x14ac:dyDescent="0.25">
      <c r="B155" s="109" t="s">
        <v>178</v>
      </c>
      <c r="C155" s="890"/>
      <c r="D155" s="891"/>
      <c r="E155" s="86">
        <v>192214.78399999999</v>
      </c>
      <c r="F155" s="87">
        <v>199145.08800000002</v>
      </c>
      <c r="G155" s="87">
        <v>226066.17600000001</v>
      </c>
      <c r="H155" s="88">
        <v>244991.872</v>
      </c>
      <c r="I155" s="86">
        <v>199655.29600000003</v>
      </c>
      <c r="J155" s="87">
        <v>184502.91199999998</v>
      </c>
      <c r="K155" s="87">
        <v>221327.61600000001</v>
      </c>
      <c r="L155" s="505">
        <v>249490.04800000001</v>
      </c>
      <c r="M155" s="153">
        <v>276289.408</v>
      </c>
      <c r="N155" s="154">
        <v>337303.16800000001</v>
      </c>
      <c r="O155" s="154">
        <v>287469.31199999998</v>
      </c>
      <c r="P155" s="505">
        <v>288340.22399999999</v>
      </c>
      <c r="Q155" s="153">
        <v>299114.36800000002</v>
      </c>
      <c r="R155" s="154">
        <v>239720.83199999999</v>
      </c>
      <c r="S155" s="322">
        <v>260792.06399999998</v>
      </c>
      <c r="T155" s="506">
        <v>306825.34399999998</v>
      </c>
      <c r="U155" s="153">
        <v>278687.48800000001</v>
      </c>
      <c r="V155" s="154">
        <v>262011.136</v>
      </c>
      <c r="W155" s="154">
        <v>264308.73600000003</v>
      </c>
      <c r="X155" s="505">
        <v>284898.94400000002</v>
      </c>
      <c r="Y155" s="153">
        <v>307097.728</v>
      </c>
      <c r="Z155" s="154">
        <v>309144.06400000001</v>
      </c>
      <c r="AA155" s="154">
        <v>330046.848</v>
      </c>
      <c r="AB155" s="505">
        <v>441046.4</v>
      </c>
      <c r="AH155" s="86">
        <f t="shared" si="32"/>
        <v>862417.91999999993</v>
      </c>
      <c r="AI155" s="87">
        <f t="shared" si="33"/>
        <v>854975.87199999997</v>
      </c>
      <c r="AJ155" s="87">
        <f t="shared" si="34"/>
        <v>1189402.112</v>
      </c>
      <c r="AK155" s="87">
        <f t="shared" si="35"/>
        <v>1106452.608</v>
      </c>
      <c r="AL155" s="87">
        <f t="shared" si="36"/>
        <v>1089906.304</v>
      </c>
      <c r="AM155" s="88">
        <f t="shared" si="37"/>
        <v>1387335.04</v>
      </c>
      <c r="AN155" s="83">
        <f t="shared" si="38"/>
        <v>0</v>
      </c>
    </row>
    <row r="156" spans="2:40" x14ac:dyDescent="0.25">
      <c r="B156" s="110" t="s">
        <v>177</v>
      </c>
      <c r="C156" s="892" t="s">
        <v>276</v>
      </c>
      <c r="D156" s="893"/>
      <c r="E156" s="91">
        <v>3006.3360000000002</v>
      </c>
      <c r="F156" s="92">
        <v>5040</v>
      </c>
      <c r="G156" s="92">
        <v>2645.248</v>
      </c>
      <c r="H156" s="93">
        <v>3394.0480000000002</v>
      </c>
      <c r="I156" s="91">
        <v>2744.576</v>
      </c>
      <c r="J156" s="92">
        <v>2752.384</v>
      </c>
      <c r="K156" s="92">
        <v>3301.12</v>
      </c>
      <c r="L156" s="507">
        <v>2671.232</v>
      </c>
      <c r="M156" s="508">
        <v>3011.5839999999998</v>
      </c>
      <c r="N156" s="509">
        <v>2627.9680000000003</v>
      </c>
      <c r="O156" s="509">
        <v>2779.136</v>
      </c>
      <c r="P156" s="507">
        <v>3185.92</v>
      </c>
      <c r="Q156" s="508">
        <v>2966.1440000000002</v>
      </c>
      <c r="R156" s="509">
        <v>3415.424</v>
      </c>
      <c r="S156" s="510">
        <v>3420.6720000000005</v>
      </c>
      <c r="T156" s="511">
        <v>3522.0480000000007</v>
      </c>
      <c r="U156" s="508">
        <v>3400.96</v>
      </c>
      <c r="V156" s="509">
        <v>3698.0479999999998</v>
      </c>
      <c r="W156" s="509">
        <v>3145.7280000000001</v>
      </c>
      <c r="X156" s="507">
        <v>3688.0640000000003</v>
      </c>
      <c r="Y156" s="508">
        <v>3427.7120000000004</v>
      </c>
      <c r="Z156" s="509">
        <v>3929.9839999999999</v>
      </c>
      <c r="AA156" s="509">
        <v>4034.0479999999998</v>
      </c>
      <c r="AB156" s="507">
        <v>5173.5039999999999</v>
      </c>
      <c r="AH156" s="91">
        <f t="shared" si="32"/>
        <v>14085.632000000001</v>
      </c>
      <c r="AI156" s="92">
        <f t="shared" si="33"/>
        <v>11469.312</v>
      </c>
      <c r="AJ156" s="92">
        <f t="shared" si="34"/>
        <v>11604.608</v>
      </c>
      <c r="AK156" s="92">
        <f t="shared" si="35"/>
        <v>13324.288000000002</v>
      </c>
      <c r="AL156" s="92">
        <f t="shared" si="36"/>
        <v>13932.800000000001</v>
      </c>
      <c r="AM156" s="93">
        <f t="shared" si="37"/>
        <v>16565.248</v>
      </c>
      <c r="AN156" s="93">
        <f t="shared" si="38"/>
        <v>0</v>
      </c>
    </row>
    <row r="157" spans="2:40" ht="15.75" thickBot="1" x14ac:dyDescent="0.3">
      <c r="B157" s="113" t="s">
        <v>178</v>
      </c>
      <c r="C157" s="896"/>
      <c r="D157" s="897"/>
      <c r="E157" s="96">
        <v>806.52800000000002</v>
      </c>
      <c r="F157" s="97">
        <v>1038.4639999999999</v>
      </c>
      <c r="G157" s="97">
        <v>647.16800000000001</v>
      </c>
      <c r="H157" s="98">
        <v>1257.3440000000001</v>
      </c>
      <c r="I157" s="96">
        <v>864.89600000000007</v>
      </c>
      <c r="J157" s="97">
        <v>656.76800000000003</v>
      </c>
      <c r="K157" s="97">
        <v>790.78399999999999</v>
      </c>
      <c r="L157" s="512">
        <v>969.34399999999994</v>
      </c>
      <c r="M157" s="513">
        <v>901.88800000000003</v>
      </c>
      <c r="N157" s="514">
        <v>893.69600000000003</v>
      </c>
      <c r="O157" s="514">
        <v>738.68799999999999</v>
      </c>
      <c r="P157" s="512">
        <v>1000.4480000000001</v>
      </c>
      <c r="Q157" s="513">
        <v>1111.68</v>
      </c>
      <c r="R157" s="514">
        <v>1225.856</v>
      </c>
      <c r="S157" s="515">
        <v>1388.16</v>
      </c>
      <c r="T157" s="516">
        <v>1037.6960000000001</v>
      </c>
      <c r="U157" s="513">
        <v>1290.24</v>
      </c>
      <c r="V157" s="514">
        <v>1395.9680000000001</v>
      </c>
      <c r="W157" s="514">
        <v>1176.704</v>
      </c>
      <c r="X157" s="512">
        <v>1613.44</v>
      </c>
      <c r="Y157" s="513">
        <v>1271.68</v>
      </c>
      <c r="Z157" s="514">
        <v>1348.864</v>
      </c>
      <c r="AA157" s="514">
        <v>1565.568</v>
      </c>
      <c r="AB157" s="512">
        <v>2547.5839999999998</v>
      </c>
      <c r="AH157" s="96">
        <f t="shared" si="32"/>
        <v>3749.5039999999999</v>
      </c>
      <c r="AI157" s="97">
        <f t="shared" si="33"/>
        <v>3281.7920000000004</v>
      </c>
      <c r="AJ157" s="97">
        <f t="shared" si="34"/>
        <v>3534.7200000000003</v>
      </c>
      <c r="AK157" s="97">
        <f t="shared" si="35"/>
        <v>4763.3919999999998</v>
      </c>
      <c r="AL157" s="97">
        <f t="shared" si="36"/>
        <v>5476.3520000000008</v>
      </c>
      <c r="AM157" s="98">
        <f t="shared" si="37"/>
        <v>6733.6959999999999</v>
      </c>
      <c r="AN157" s="93">
        <f t="shared" si="38"/>
        <v>0</v>
      </c>
    </row>
    <row r="158" spans="2:40" ht="15.75" thickBot="1" x14ac:dyDescent="0.3">
      <c r="AH158" s="142"/>
      <c r="AI158" s="143"/>
      <c r="AJ158" s="143"/>
      <c r="AK158" s="143">
        <f t="shared" ref="AK158" si="39">SUM(Q158:T158)</f>
        <v>0</v>
      </c>
      <c r="AL158" s="143">
        <f t="shared" ref="AL158" si="40">SUM(U158:X158)</f>
        <v>0</v>
      </c>
      <c r="AM158" s="144">
        <f>SUM(V158:Y158)</f>
        <v>0</v>
      </c>
      <c r="AN158" s="144">
        <v>0</v>
      </c>
    </row>
    <row r="160" spans="2:40" ht="15.75" thickBot="1" x14ac:dyDescent="0.3"/>
    <row r="161" spans="2:41" x14ac:dyDescent="0.25">
      <c r="B161" s="20" t="s">
        <v>89</v>
      </c>
      <c r="C161" s="886" t="s">
        <v>286</v>
      </c>
      <c r="D161" s="887"/>
      <c r="AH161" s="483">
        <f>IFERROR((AH55-AH138)/AH138,)</f>
        <v>-4.7260150993082258E-3</v>
      </c>
      <c r="AI161" s="483">
        <f t="shared" ref="AI161:AM161" si="41">IFERROR((AI55-AI138)/AI138,)</f>
        <v>-5.6616183162685541E-3</v>
      </c>
      <c r="AJ161" s="483">
        <f t="shared" si="41"/>
        <v>-6.7004017698216282E-3</v>
      </c>
      <c r="AK161" s="483">
        <f t="shared" si="41"/>
        <v>-5.4969766628359441E-4</v>
      </c>
      <c r="AL161" s="483">
        <f t="shared" si="41"/>
        <v>-4.0487263627564905E-3</v>
      </c>
      <c r="AM161" s="483">
        <f t="shared" si="41"/>
        <v>6.619530029473914E-3</v>
      </c>
      <c r="AO161" t="s">
        <v>367</v>
      </c>
    </row>
    <row r="162" spans="2:41" x14ac:dyDescent="0.25">
      <c r="B162" s="21" t="s">
        <v>90</v>
      </c>
      <c r="C162" s="890"/>
      <c r="D162" s="891"/>
      <c r="AH162" s="483">
        <f t="shared" ref="AH162:AM162" si="42">IFERROR((AH56-AH139)/AH139,)</f>
        <v>-5.7859885250852675E-3</v>
      </c>
      <c r="AI162" s="483">
        <f t="shared" si="42"/>
        <v>-9.8225602027883809E-3</v>
      </c>
      <c r="AJ162" s="483">
        <f t="shared" si="42"/>
        <v>-1.2197349196411632E-3</v>
      </c>
      <c r="AK162" s="483">
        <f t="shared" si="42"/>
        <v>1.4821936465970005E-3</v>
      </c>
      <c r="AL162" s="483">
        <f t="shared" si="42"/>
        <v>-8.0696732543626541E-4</v>
      </c>
      <c r="AM162" s="483">
        <f t="shared" si="42"/>
        <v>2.6737967914436875E-3</v>
      </c>
    </row>
    <row r="163" spans="2:41" x14ac:dyDescent="0.25">
      <c r="B163" s="22" t="s">
        <v>177</v>
      </c>
      <c r="C163" s="892" t="s">
        <v>287</v>
      </c>
      <c r="D163" s="893"/>
      <c r="AH163" s="483">
        <f t="shared" ref="AH163:AM163" si="43">IFERROR((AH57-AH140)/AH140,)</f>
        <v>-1</v>
      </c>
      <c r="AI163" s="483">
        <f t="shared" si="43"/>
        <v>-1</v>
      </c>
      <c r="AJ163" s="483">
        <f t="shared" si="43"/>
        <v>-1</v>
      </c>
      <c r="AK163" s="483">
        <f t="shared" si="43"/>
        <v>0</v>
      </c>
      <c r="AL163" s="483">
        <f t="shared" si="43"/>
        <v>0</v>
      </c>
      <c r="AM163" s="483">
        <f t="shared" si="43"/>
        <v>0</v>
      </c>
    </row>
    <row r="164" spans="2:41" ht="15.75" thickBot="1" x14ac:dyDescent="0.3">
      <c r="B164" s="23" t="s">
        <v>178</v>
      </c>
      <c r="C164" s="896"/>
      <c r="D164" s="897"/>
      <c r="AH164" s="483">
        <f t="shared" ref="AH164:AM164" si="44">IFERROR((AH58-AH141)/AH141,)</f>
        <v>-1</v>
      </c>
      <c r="AI164" s="483">
        <f t="shared" si="44"/>
        <v>-1</v>
      </c>
      <c r="AJ164" s="483">
        <f t="shared" si="44"/>
        <v>-1</v>
      </c>
      <c r="AK164" s="483">
        <f t="shared" si="44"/>
        <v>0</v>
      </c>
      <c r="AL164" s="483">
        <f t="shared" si="44"/>
        <v>0</v>
      </c>
      <c r="AM164" s="483">
        <f t="shared" si="44"/>
        <v>0</v>
      </c>
    </row>
    <row r="165" spans="2:41" x14ac:dyDescent="0.25">
      <c r="B165" s="20" t="s">
        <v>177</v>
      </c>
      <c r="C165" s="886" t="s">
        <v>289</v>
      </c>
      <c r="D165" s="887"/>
      <c r="AH165" s="483">
        <f t="shared" ref="AH165:AM165" si="45">IFERROR((AH59-AH142)/AH142,)</f>
        <v>2.2020791570263251E-6</v>
      </c>
      <c r="AI165" s="483">
        <f t="shared" si="45"/>
        <v>1.2493068542486503E-6</v>
      </c>
      <c r="AJ165" s="483">
        <f t="shared" si="45"/>
        <v>-3.8848485020035673E-6</v>
      </c>
      <c r="AK165" s="483">
        <f t="shared" si="45"/>
        <v>1.0316386796876991E-6</v>
      </c>
      <c r="AL165" s="483">
        <f t="shared" si="45"/>
        <v>-3.1271803688701886E-7</v>
      </c>
      <c r="AM165" s="483">
        <f t="shared" si="45"/>
        <v>2.5461403971387507E-6</v>
      </c>
    </row>
    <row r="166" spans="2:41" x14ac:dyDescent="0.25">
      <c r="B166" s="21" t="s">
        <v>178</v>
      </c>
      <c r="C166" s="890"/>
      <c r="D166" s="891"/>
      <c r="AH166" s="483">
        <f t="shared" ref="AH166:AM166" si="46">IFERROR((AH60-AH143)/AH143,)</f>
        <v>3.2780735776454143E-6</v>
      </c>
      <c r="AI166" s="483">
        <f t="shared" si="46"/>
        <v>1.1676740208270871E-5</v>
      </c>
      <c r="AJ166" s="483">
        <f t="shared" si="46"/>
        <v>6.5455836516071453E-6</v>
      </c>
      <c r="AK166" s="483">
        <f t="shared" si="46"/>
        <v>1.0441686759847342E-5</v>
      </c>
      <c r="AL166" s="483">
        <f t="shared" si="46"/>
        <v>-1.3677450599578207E-5</v>
      </c>
      <c r="AM166" s="483">
        <f t="shared" si="46"/>
        <v>2.9166409599978999E-6</v>
      </c>
    </row>
    <row r="167" spans="2:41" x14ac:dyDescent="0.25">
      <c r="B167" s="22" t="s">
        <v>177</v>
      </c>
      <c r="C167" s="892" t="s">
        <v>288</v>
      </c>
      <c r="D167" s="893"/>
      <c r="AH167" s="483">
        <f t="shared" ref="AH167:AM167" si="47">IFERROR((AH61-AH144)/AH144,)</f>
        <v>1.2829770819035183E-4</v>
      </c>
      <c r="AI167" s="483">
        <f t="shared" si="47"/>
        <v>7.2175057975029446E-5</v>
      </c>
      <c r="AJ167" s="483">
        <f t="shared" si="47"/>
        <v>2.9196327609395134E-5</v>
      </c>
      <c r="AK167" s="483">
        <f t="shared" si="47"/>
        <v>-1.687224552454103E-5</v>
      </c>
      <c r="AL167" s="483">
        <f t="shared" si="47"/>
        <v>-1.5403774181602646E-5</v>
      </c>
      <c r="AM167" s="483">
        <f t="shared" si="47"/>
        <v>-5.997571366510597E-6</v>
      </c>
    </row>
    <row r="168" spans="2:41" ht="15.75" thickBot="1" x14ac:dyDescent="0.3">
      <c r="B168" s="24" t="s">
        <v>178</v>
      </c>
      <c r="C168" s="896"/>
      <c r="D168" s="897"/>
      <c r="AH168" s="483">
        <f t="shared" ref="AH168:AM168" si="48">IFERROR((AH62-AH145)/AH145,)</f>
        <v>1.0881805166192878E-4</v>
      </c>
      <c r="AI168" s="483">
        <f t="shared" si="48"/>
        <v>1.9251645620113925E-4</v>
      </c>
      <c r="AJ168" s="483">
        <f t="shared" si="48"/>
        <v>6.8728256218882181E-5</v>
      </c>
      <c r="AK168" s="483">
        <f t="shared" si="48"/>
        <v>3.8023995639214613E-5</v>
      </c>
      <c r="AL168" s="483">
        <f t="shared" si="48"/>
        <v>-2.3503826294900274E-4</v>
      </c>
      <c r="AM168" s="483">
        <f t="shared" si="48"/>
        <v>-1.2405426949023459E-4</v>
      </c>
    </row>
    <row r="169" spans="2:41" x14ac:dyDescent="0.25">
      <c r="B169" s="20" t="s">
        <v>177</v>
      </c>
      <c r="C169" s="886" t="s">
        <v>291</v>
      </c>
      <c r="D169" s="887"/>
      <c r="AH169" s="483">
        <f t="shared" ref="AH169:AM169" si="49">IFERROR((AH63-AH146)/AH146,)</f>
        <v>1.8117058866796882E-7</v>
      </c>
      <c r="AI169" s="483">
        <f t="shared" si="49"/>
        <v>-2.1104962314022211E-7</v>
      </c>
      <c r="AJ169" s="483">
        <f t="shared" si="49"/>
        <v>1.1127342438550043E-6</v>
      </c>
      <c r="AK169" s="483">
        <f t="shared" si="49"/>
        <v>4.5913646658650034E-6</v>
      </c>
      <c r="AL169" s="483">
        <f t="shared" si="49"/>
        <v>1.8699381495355784E-6</v>
      </c>
      <c r="AM169" s="483">
        <f t="shared" si="49"/>
        <v>7.5977697369114958E-7</v>
      </c>
    </row>
    <row r="170" spans="2:41" x14ac:dyDescent="0.25">
      <c r="B170" s="21" t="s">
        <v>178</v>
      </c>
      <c r="C170" s="890"/>
      <c r="D170" s="891"/>
      <c r="AH170" s="483">
        <f t="shared" ref="AH170:AM170" si="50">IFERROR((AH64-AH147)/AH147,)</f>
        <v>-2.2794907418038412E-6</v>
      </c>
      <c r="AI170" s="483">
        <f t="shared" si="50"/>
        <v>-1.467635108044869E-6</v>
      </c>
      <c r="AJ170" s="483">
        <f t="shared" si="50"/>
        <v>-6.0628105782726015E-7</v>
      </c>
      <c r="AK170" s="483">
        <f t="shared" si="50"/>
        <v>2.8442598125051022E-6</v>
      </c>
      <c r="AL170" s="483">
        <f t="shared" si="50"/>
        <v>2.9041177359149446E-6</v>
      </c>
      <c r="AM170" s="483">
        <f t="shared" si="50"/>
        <v>4.0500211411581145E-6</v>
      </c>
    </row>
    <row r="171" spans="2:41" x14ac:dyDescent="0.25">
      <c r="B171" s="22" t="s">
        <v>177</v>
      </c>
      <c r="C171" s="892" t="s">
        <v>290</v>
      </c>
      <c r="D171" s="893"/>
      <c r="AH171" s="483">
        <f t="shared" ref="AH171:AM171" si="51">IFERROR((AH65-AH148)/AH148,)</f>
        <v>2.0078275525388004E-5</v>
      </c>
      <c r="AI171" s="483">
        <f t="shared" si="51"/>
        <v>2.4802474865281863E-5</v>
      </c>
      <c r="AJ171" s="483">
        <f t="shared" si="51"/>
        <v>4.0004509574384159E-5</v>
      </c>
      <c r="AK171" s="483">
        <f t="shared" si="51"/>
        <v>3.5686379080088855E-4</v>
      </c>
      <c r="AL171" s="483">
        <f t="shared" si="51"/>
        <v>1.3834346466120003E-4</v>
      </c>
      <c r="AM171" s="483">
        <f t="shared" si="51"/>
        <v>1.8154792497032423E-3</v>
      </c>
    </row>
    <row r="172" spans="2:41" ht="15.75" thickBot="1" x14ac:dyDescent="0.3">
      <c r="B172" s="24" t="s">
        <v>178</v>
      </c>
      <c r="C172" s="896"/>
      <c r="D172" s="897"/>
      <c r="AH172" s="483">
        <f t="shared" ref="AH172:AM172" si="52">IFERROR((AH66-AH149)/AH149,)</f>
        <v>2.8113312894256578E-6</v>
      </c>
      <c r="AI172" s="483">
        <f t="shared" si="52"/>
        <v>3.4248259403508151E-6</v>
      </c>
      <c r="AJ172" s="483">
        <f t="shared" si="52"/>
        <v>1.4192875760073327E-5</v>
      </c>
      <c r="AK172" s="483">
        <f t="shared" si="52"/>
        <v>2.2766661769113699E-4</v>
      </c>
      <c r="AL172" s="483">
        <f t="shared" si="52"/>
        <v>3.2995936944799E-4</v>
      </c>
      <c r="AM172" s="483">
        <f t="shared" si="52"/>
        <v>3.7150987357589067E-4</v>
      </c>
    </row>
    <row r="173" spans="2:41" x14ac:dyDescent="0.25">
      <c r="B173" s="108" t="s">
        <v>177</v>
      </c>
      <c r="C173" s="886" t="s">
        <v>273</v>
      </c>
      <c r="D173" s="887"/>
      <c r="AH173" s="483">
        <f t="shared" ref="AH173:AM173" si="53">IFERROR((AH67-AH150)/AH150,)</f>
        <v>0</v>
      </c>
      <c r="AI173" s="483">
        <f t="shared" si="53"/>
        <v>0</v>
      </c>
      <c r="AJ173" s="483">
        <f t="shared" si="53"/>
        <v>-8.6328729453809937E-3</v>
      </c>
      <c r="AK173" s="483">
        <f t="shared" si="53"/>
        <v>-4.1754826898137984E-3</v>
      </c>
      <c r="AL173" s="483">
        <f t="shared" si="53"/>
        <v>-3.8095701264858244E-3</v>
      </c>
      <c r="AM173" s="483">
        <f t="shared" si="53"/>
        <v>-1.2488347800017653E-2</v>
      </c>
    </row>
    <row r="174" spans="2:41" x14ac:dyDescent="0.25">
      <c r="B174" s="109" t="s">
        <v>178</v>
      </c>
      <c r="C174" s="890"/>
      <c r="D174" s="891"/>
      <c r="AH174" s="483">
        <f t="shared" ref="AH174:AM174" si="54">IFERROR((AH68-AH151)/AH151,)</f>
        <v>0</v>
      </c>
      <c r="AI174" s="483">
        <f t="shared" si="54"/>
        <v>0</v>
      </c>
      <c r="AJ174" s="483">
        <f t="shared" si="54"/>
        <v>-2.0924534655534534E-2</v>
      </c>
      <c r="AK174" s="483">
        <f t="shared" si="54"/>
        <v>-1.6847016134257858E-2</v>
      </c>
      <c r="AL174" s="483">
        <f t="shared" si="54"/>
        <v>-4.0178069202706388E-3</v>
      </c>
      <c r="AM174" s="483">
        <f t="shared" si="54"/>
        <v>-3.0215776189961089E-4</v>
      </c>
    </row>
    <row r="175" spans="2:41" x14ac:dyDescent="0.25">
      <c r="B175" s="110" t="s">
        <v>177</v>
      </c>
      <c r="C175" s="892" t="s">
        <v>274</v>
      </c>
      <c r="D175" s="893"/>
      <c r="AH175" s="483">
        <f t="shared" ref="AH175:AM175" si="55">IFERROR((AH69-AH152)/AH152,)</f>
        <v>0</v>
      </c>
      <c r="AI175" s="483">
        <f t="shared" si="55"/>
        <v>0</v>
      </c>
      <c r="AJ175" s="483">
        <f t="shared" si="55"/>
        <v>0</v>
      </c>
      <c r="AK175" s="483">
        <f t="shared" si="55"/>
        <v>0</v>
      </c>
      <c r="AL175" s="483">
        <f t="shared" si="55"/>
        <v>0</v>
      </c>
      <c r="AM175" s="483">
        <f t="shared" si="55"/>
        <v>0</v>
      </c>
    </row>
    <row r="176" spans="2:41" ht="15.75" thickBot="1" x14ac:dyDescent="0.3">
      <c r="B176" s="111" t="s">
        <v>178</v>
      </c>
      <c r="C176" s="896"/>
      <c r="D176" s="897"/>
      <c r="AH176" s="483">
        <f t="shared" ref="AH176:AM176" si="56">IFERROR((AH70-AH153)/AH153,)</f>
        <v>0</v>
      </c>
      <c r="AI176" s="483">
        <f t="shared" si="56"/>
        <v>0</v>
      </c>
      <c r="AJ176" s="483">
        <f t="shared" si="56"/>
        <v>0</v>
      </c>
      <c r="AK176" s="483">
        <f t="shared" si="56"/>
        <v>0</v>
      </c>
      <c r="AL176" s="483">
        <f t="shared" si="56"/>
        <v>0</v>
      </c>
      <c r="AM176" s="483">
        <f t="shared" si="56"/>
        <v>0</v>
      </c>
    </row>
    <row r="177" spans="2:40" x14ac:dyDescent="0.25">
      <c r="B177" s="112" t="s">
        <v>177</v>
      </c>
      <c r="C177" s="886" t="s">
        <v>275</v>
      </c>
      <c r="D177" s="887"/>
      <c r="AH177" s="483">
        <f t="shared" ref="AH177:AM177" si="57">IFERROR((AH71-AH154)/AH154,)</f>
        <v>0.42145107140245647</v>
      </c>
      <c r="AI177" s="483">
        <f t="shared" si="57"/>
        <v>0.39576770558233632</v>
      </c>
      <c r="AJ177" s="483">
        <f t="shared" si="57"/>
        <v>0.28187348675807311</v>
      </c>
      <c r="AK177" s="483">
        <f t="shared" si="57"/>
        <v>0.32169955063059597</v>
      </c>
      <c r="AL177" s="483">
        <f t="shared" si="57"/>
        <v>0.30670581426244536</v>
      </c>
      <c r="AM177" s="483">
        <f t="shared" si="57"/>
        <v>0.20919616018590043</v>
      </c>
    </row>
    <row r="178" spans="2:40" x14ac:dyDescent="0.25">
      <c r="B178" s="109" t="s">
        <v>178</v>
      </c>
      <c r="C178" s="890"/>
      <c r="D178" s="891"/>
      <c r="AH178" s="483">
        <f t="shared" ref="AH178:AM178" si="58">IFERROR((AH72-AH155)/AH155,)</f>
        <v>0.43191280626450812</v>
      </c>
      <c r="AI178" s="483">
        <f t="shared" si="58"/>
        <v>0.47981218351855442</v>
      </c>
      <c r="AJ178" s="483">
        <f t="shared" si="58"/>
        <v>0.32858264842226897</v>
      </c>
      <c r="AK178" s="483">
        <f t="shared" si="58"/>
        <v>0.37470403431865745</v>
      </c>
      <c r="AL178" s="483">
        <f t="shared" si="58"/>
        <v>0.38783305908835258</v>
      </c>
      <c r="AM178" s="483">
        <f t="shared" si="58"/>
        <v>0.23911665346533739</v>
      </c>
    </row>
    <row r="179" spans="2:40" x14ac:dyDescent="0.25">
      <c r="B179" s="110" t="s">
        <v>177</v>
      </c>
      <c r="C179" s="892" t="s">
        <v>276</v>
      </c>
      <c r="D179" s="893"/>
      <c r="AH179" s="483">
        <f t="shared" ref="AH179:AM179" si="59">IFERROR((AH73-AH156)/AH156,)</f>
        <v>10.760232270728071</v>
      </c>
      <c r="AI179" s="483">
        <f t="shared" si="59"/>
        <v>12.59039775010044</v>
      </c>
      <c r="AJ179" s="483">
        <f t="shared" si="59"/>
        <v>13.419982131236145</v>
      </c>
      <c r="AK179" s="483">
        <f t="shared" si="59"/>
        <v>11.475071088226251</v>
      </c>
      <c r="AL179" s="483">
        <f t="shared" si="59"/>
        <v>11.936150666054203</v>
      </c>
      <c r="AM179" s="483">
        <f t="shared" si="59"/>
        <v>9.6565880571181335</v>
      </c>
    </row>
    <row r="180" spans="2:40" ht="15.75" thickBot="1" x14ac:dyDescent="0.3">
      <c r="B180" s="113" t="s">
        <v>178</v>
      </c>
      <c r="C180" s="896"/>
      <c r="D180" s="897"/>
      <c r="AH180" s="483">
        <f t="shared" ref="AH180:AM180" si="60">IFERROR((AH74-AH157)/AH157,)</f>
        <v>9.3326050592291683</v>
      </c>
      <c r="AI180" s="483">
        <f t="shared" si="60"/>
        <v>10.098677795545845</v>
      </c>
      <c r="AJ180" s="483">
        <f t="shared" si="60"/>
        <v>11.818432011587904</v>
      </c>
      <c r="AK180" s="483">
        <f t="shared" si="60"/>
        <v>8.6077551459128294</v>
      </c>
      <c r="AL180" s="483">
        <f t="shared" si="60"/>
        <v>9.1776364996260273</v>
      </c>
      <c r="AM180" s="483">
        <f t="shared" si="60"/>
        <v>7.9914840230387592</v>
      </c>
    </row>
    <row r="181" spans="2:40" x14ac:dyDescent="0.25">
      <c r="AG181" s="365"/>
      <c r="AH181" s="365"/>
      <c r="AI181" s="365"/>
      <c r="AJ181" s="365"/>
      <c r="AK181" s="365"/>
      <c r="AL181" s="365"/>
      <c r="AM181" s="365"/>
    </row>
    <row r="182" spans="2:40" x14ac:dyDescent="0.25">
      <c r="AH182" s="365"/>
      <c r="AI182" s="365"/>
      <c r="AJ182" s="365"/>
      <c r="AK182" s="365"/>
      <c r="AL182" s="365"/>
      <c r="AM182" s="365"/>
      <c r="AN182" s="365"/>
    </row>
    <row r="183" spans="2:40" x14ac:dyDescent="0.25">
      <c r="AH183" s="365"/>
      <c r="AI183" s="365"/>
      <c r="AJ183" s="365"/>
      <c r="AK183" s="365"/>
      <c r="AL183" s="365"/>
      <c r="AM183" s="365"/>
      <c r="AN183" s="365"/>
    </row>
    <row r="184" spans="2:40" x14ac:dyDescent="0.25">
      <c r="AH184" s="365"/>
      <c r="AI184" s="365"/>
      <c r="AJ184" s="365"/>
      <c r="AK184" s="365"/>
      <c r="AL184" s="365"/>
      <c r="AM184" s="365"/>
      <c r="AN184" s="365"/>
    </row>
    <row r="185" spans="2:40" x14ac:dyDescent="0.25">
      <c r="AH185" s="365"/>
      <c r="AI185" s="365"/>
      <c r="AJ185" s="365"/>
      <c r="AK185" s="365"/>
      <c r="AL185" s="365"/>
      <c r="AM185" s="365"/>
      <c r="AN185" s="365"/>
    </row>
    <row r="186" spans="2:40" x14ac:dyDescent="0.25">
      <c r="AH186" s="365"/>
      <c r="AI186" s="365"/>
      <c r="AJ186" s="365"/>
      <c r="AK186" s="365"/>
      <c r="AL186" s="365"/>
      <c r="AM186" s="365"/>
      <c r="AN186" s="365"/>
    </row>
    <row r="187" spans="2:40" x14ac:dyDescent="0.25">
      <c r="AH187" s="365"/>
      <c r="AI187" s="365"/>
      <c r="AJ187" s="365"/>
      <c r="AK187" s="365"/>
      <c r="AL187" s="365"/>
      <c r="AM187" s="365"/>
      <c r="AN187" s="365"/>
    </row>
    <row r="188" spans="2:40" x14ac:dyDescent="0.25">
      <c r="AH188" s="365"/>
      <c r="AI188" s="365"/>
      <c r="AJ188" s="365"/>
      <c r="AK188" s="365"/>
      <c r="AL188" s="365"/>
      <c r="AM188" s="365"/>
      <c r="AN188" s="365"/>
    </row>
    <row r="189" spans="2:40" x14ac:dyDescent="0.25">
      <c r="AH189" s="365"/>
      <c r="AI189" s="365"/>
      <c r="AJ189" s="365"/>
      <c r="AK189" s="365"/>
      <c r="AL189" s="365"/>
      <c r="AM189" s="365"/>
      <c r="AN189" s="365"/>
    </row>
    <row r="190" spans="2:40" x14ac:dyDescent="0.25">
      <c r="AH190" s="365"/>
      <c r="AI190" s="365"/>
      <c r="AJ190" s="365"/>
      <c r="AK190" s="365"/>
      <c r="AL190" s="365"/>
      <c r="AM190" s="365"/>
      <c r="AN190" s="365"/>
    </row>
    <row r="191" spans="2:40" x14ac:dyDescent="0.25">
      <c r="AH191" s="365"/>
      <c r="AI191" s="365"/>
      <c r="AJ191" s="365"/>
      <c r="AK191" s="365"/>
      <c r="AL191" s="365"/>
      <c r="AM191" s="365"/>
      <c r="AN191" s="365"/>
    </row>
    <row r="192" spans="2:40" x14ac:dyDescent="0.25">
      <c r="AH192" s="365"/>
      <c r="AI192" s="365"/>
      <c r="AJ192" s="365"/>
      <c r="AK192" s="365"/>
      <c r="AL192" s="365"/>
      <c r="AM192" s="365"/>
      <c r="AN192" s="365"/>
    </row>
    <row r="193" spans="34:40" x14ac:dyDescent="0.25">
      <c r="AH193" s="365"/>
      <c r="AI193" s="365"/>
      <c r="AJ193" s="365"/>
      <c r="AK193" s="365"/>
      <c r="AL193" s="365"/>
      <c r="AM193" s="365"/>
      <c r="AN193" s="365"/>
    </row>
    <row r="194" spans="34:40" x14ac:dyDescent="0.25">
      <c r="AH194" s="365"/>
      <c r="AI194" s="365"/>
      <c r="AJ194" s="365"/>
      <c r="AK194" s="365"/>
      <c r="AL194" s="365"/>
      <c r="AM194" s="365"/>
      <c r="AN194" s="365"/>
    </row>
    <row r="195" spans="34:40" x14ac:dyDescent="0.25">
      <c r="AH195" s="365"/>
      <c r="AI195" s="365"/>
      <c r="AJ195" s="365"/>
      <c r="AK195" s="365"/>
      <c r="AL195" s="365"/>
      <c r="AM195" s="365"/>
      <c r="AN195" s="365"/>
    </row>
    <row r="196" spans="34:40" x14ac:dyDescent="0.25">
      <c r="AH196" s="365"/>
      <c r="AI196" s="365"/>
      <c r="AJ196" s="365"/>
      <c r="AK196" s="365"/>
      <c r="AL196" s="365"/>
      <c r="AM196" s="365"/>
      <c r="AN196" s="365"/>
    </row>
    <row r="197" spans="34:40" x14ac:dyDescent="0.25">
      <c r="AH197" s="365"/>
      <c r="AI197" s="365"/>
      <c r="AJ197" s="365"/>
      <c r="AK197" s="365"/>
      <c r="AL197" s="365"/>
      <c r="AM197" s="365"/>
      <c r="AN197" s="365"/>
    </row>
    <row r="198" spans="34:40" x14ac:dyDescent="0.25">
      <c r="AH198" s="365"/>
      <c r="AI198" s="365"/>
      <c r="AJ198" s="365"/>
      <c r="AK198" s="365"/>
      <c r="AL198" s="365"/>
      <c r="AM198" s="365"/>
      <c r="AN198" s="365"/>
    </row>
    <row r="199" spans="34:40" x14ac:dyDescent="0.25">
      <c r="AH199" s="365"/>
      <c r="AI199" s="365"/>
      <c r="AJ199" s="365"/>
      <c r="AK199" s="365"/>
      <c r="AL199" s="365"/>
      <c r="AM199" s="365"/>
      <c r="AN199" s="365"/>
    </row>
    <row r="200" spans="34:40" x14ac:dyDescent="0.25">
      <c r="AH200" s="365"/>
      <c r="AI200" s="365"/>
      <c r="AJ200" s="365"/>
      <c r="AK200" s="365"/>
      <c r="AL200" s="365"/>
      <c r="AM200" s="365"/>
      <c r="AN200" s="365"/>
    </row>
    <row r="201" spans="34:40" x14ac:dyDescent="0.25">
      <c r="AH201" s="365"/>
      <c r="AI201" s="365"/>
      <c r="AJ201" s="365"/>
      <c r="AK201" s="365"/>
      <c r="AL201" s="365"/>
      <c r="AM201" s="365"/>
      <c r="AN201" s="365"/>
    </row>
    <row r="202" spans="34:40" x14ac:dyDescent="0.25">
      <c r="AH202" s="365"/>
      <c r="AI202" s="365"/>
      <c r="AJ202" s="365"/>
      <c r="AK202" s="365"/>
      <c r="AL202" s="365"/>
      <c r="AM202" s="365"/>
      <c r="AN202" s="365"/>
    </row>
    <row r="203" spans="34:40" x14ac:dyDescent="0.25">
      <c r="AH203" s="365"/>
      <c r="AI203" s="365"/>
      <c r="AJ203" s="365"/>
      <c r="AK203" s="365"/>
      <c r="AL203" s="365"/>
      <c r="AM203" s="365"/>
      <c r="AN203" s="365"/>
    </row>
    <row r="204" spans="34:40" x14ac:dyDescent="0.25">
      <c r="AH204" s="365"/>
      <c r="AI204" s="365"/>
      <c r="AJ204" s="365"/>
      <c r="AK204" s="365"/>
      <c r="AL204" s="365"/>
      <c r="AM204" s="365"/>
      <c r="AN204" s="365"/>
    </row>
    <row r="205" spans="34:40" x14ac:dyDescent="0.25">
      <c r="AH205" s="365"/>
      <c r="AI205" s="365"/>
      <c r="AJ205" s="365"/>
      <c r="AK205" s="365"/>
      <c r="AL205" s="365"/>
      <c r="AM205" s="365"/>
      <c r="AN205" s="365"/>
    </row>
    <row r="206" spans="34:40" x14ac:dyDescent="0.25">
      <c r="AH206" s="365"/>
      <c r="AI206" s="365"/>
      <c r="AJ206" s="365"/>
      <c r="AK206" s="365"/>
      <c r="AL206" s="365"/>
      <c r="AM206" s="365"/>
      <c r="AN206" s="365"/>
    </row>
    <row r="207" spans="34:40" x14ac:dyDescent="0.25">
      <c r="AH207" s="365"/>
      <c r="AI207" s="365"/>
      <c r="AJ207" s="365"/>
      <c r="AK207" s="365"/>
      <c r="AL207" s="365"/>
      <c r="AM207" s="365"/>
      <c r="AN207" s="365"/>
    </row>
    <row r="208" spans="34:40" x14ac:dyDescent="0.25">
      <c r="AH208" s="365"/>
      <c r="AI208" s="365"/>
      <c r="AJ208" s="365"/>
      <c r="AK208" s="365"/>
      <c r="AL208" s="365"/>
      <c r="AM208" s="365"/>
      <c r="AN208" s="365"/>
    </row>
    <row r="209" spans="34:40" x14ac:dyDescent="0.25">
      <c r="AH209" s="365"/>
      <c r="AI209" s="365"/>
      <c r="AJ209" s="365"/>
      <c r="AK209" s="365"/>
      <c r="AL209" s="365"/>
      <c r="AM209" s="365"/>
      <c r="AN209" s="365"/>
    </row>
    <row r="210" spans="34:40" x14ac:dyDescent="0.25">
      <c r="AH210" s="365"/>
      <c r="AI210" s="365"/>
      <c r="AJ210" s="365"/>
      <c r="AK210" s="365"/>
      <c r="AL210" s="365"/>
      <c r="AM210" s="365"/>
      <c r="AN210" s="365"/>
    </row>
    <row r="211" spans="34:40" x14ac:dyDescent="0.25">
      <c r="AH211" s="365"/>
      <c r="AI211" s="365"/>
      <c r="AJ211" s="365"/>
      <c r="AK211" s="365"/>
      <c r="AL211" s="365"/>
      <c r="AM211" s="365"/>
      <c r="AN211" s="365"/>
    </row>
    <row r="212" spans="34:40" x14ac:dyDescent="0.25">
      <c r="AH212" s="365"/>
      <c r="AI212" s="365"/>
      <c r="AJ212" s="365"/>
      <c r="AK212" s="365"/>
      <c r="AL212" s="365"/>
      <c r="AM212" s="365"/>
      <c r="AN212" s="365"/>
    </row>
    <row r="213" spans="34:40" x14ac:dyDescent="0.25">
      <c r="AH213" s="365"/>
      <c r="AI213" s="365"/>
      <c r="AJ213" s="365"/>
      <c r="AK213" s="365"/>
      <c r="AL213" s="365"/>
      <c r="AM213" s="365"/>
      <c r="AN213" s="365"/>
    </row>
    <row r="214" spans="34:40" x14ac:dyDescent="0.25">
      <c r="AH214" s="365"/>
      <c r="AI214" s="365"/>
      <c r="AJ214" s="365"/>
      <c r="AK214" s="365"/>
      <c r="AL214" s="365"/>
      <c r="AM214" s="365"/>
      <c r="AN214" s="365"/>
    </row>
    <row r="215" spans="34:40" x14ac:dyDescent="0.25">
      <c r="AH215" s="365"/>
      <c r="AI215" s="365"/>
      <c r="AJ215" s="365"/>
      <c r="AK215" s="365"/>
      <c r="AL215" s="365"/>
      <c r="AM215" s="365"/>
      <c r="AN215" s="365"/>
    </row>
    <row r="216" spans="34:40" x14ac:dyDescent="0.25">
      <c r="AH216" s="365"/>
      <c r="AI216" s="365"/>
      <c r="AJ216" s="365"/>
      <c r="AK216" s="365"/>
      <c r="AL216" s="365"/>
      <c r="AM216" s="365"/>
      <c r="AN216" s="365"/>
    </row>
    <row r="217" spans="34:40" x14ac:dyDescent="0.25">
      <c r="AH217" s="365"/>
      <c r="AI217" s="365"/>
      <c r="AJ217" s="365"/>
      <c r="AK217" s="365"/>
      <c r="AL217" s="365"/>
      <c r="AM217" s="365"/>
      <c r="AN217" s="365"/>
    </row>
    <row r="218" spans="34:40" x14ac:dyDescent="0.25">
      <c r="AH218" s="365"/>
      <c r="AI218" s="365"/>
      <c r="AJ218" s="365"/>
      <c r="AK218" s="365"/>
      <c r="AL218" s="365"/>
      <c r="AM218" s="365"/>
      <c r="AN218" s="365"/>
    </row>
    <row r="219" spans="34:40" x14ac:dyDescent="0.25">
      <c r="AH219" s="365"/>
      <c r="AI219" s="365"/>
      <c r="AJ219" s="365"/>
      <c r="AK219" s="365"/>
      <c r="AL219" s="365"/>
      <c r="AM219" s="365"/>
      <c r="AN219" s="365"/>
    </row>
    <row r="220" spans="34:40" x14ac:dyDescent="0.25">
      <c r="AH220" s="365"/>
      <c r="AI220" s="365"/>
      <c r="AJ220" s="365"/>
      <c r="AK220" s="365"/>
      <c r="AL220" s="365"/>
      <c r="AM220" s="365"/>
      <c r="AN220" s="365"/>
    </row>
    <row r="221" spans="34:40" x14ac:dyDescent="0.25">
      <c r="AH221" s="365"/>
      <c r="AI221" s="365"/>
      <c r="AJ221" s="365"/>
      <c r="AK221" s="365"/>
      <c r="AL221" s="365"/>
      <c r="AM221" s="365"/>
      <c r="AN221" s="365"/>
    </row>
    <row r="222" spans="34:40" x14ac:dyDescent="0.25">
      <c r="AH222" s="365"/>
      <c r="AI222" s="365"/>
      <c r="AJ222" s="365"/>
      <c r="AK222" s="365"/>
      <c r="AL222" s="365"/>
      <c r="AM222" s="365"/>
      <c r="AN222" s="365"/>
    </row>
    <row r="223" spans="34:40" x14ac:dyDescent="0.25">
      <c r="AH223" s="365"/>
      <c r="AI223" s="365"/>
      <c r="AJ223" s="365"/>
      <c r="AK223" s="365"/>
      <c r="AL223" s="365"/>
      <c r="AM223" s="365"/>
      <c r="AN223" s="365"/>
    </row>
    <row r="224" spans="34:40" x14ac:dyDescent="0.25">
      <c r="AH224" s="365"/>
      <c r="AI224" s="365"/>
      <c r="AJ224" s="365"/>
      <c r="AK224" s="365"/>
      <c r="AL224" s="365"/>
      <c r="AM224" s="365"/>
      <c r="AN224" s="365"/>
    </row>
    <row r="225" spans="34:40" x14ac:dyDescent="0.25">
      <c r="AH225" s="365"/>
      <c r="AI225" s="365"/>
      <c r="AJ225" s="365"/>
      <c r="AK225" s="365"/>
      <c r="AL225" s="365"/>
      <c r="AM225" s="365"/>
      <c r="AN225" s="365"/>
    </row>
    <row r="226" spans="34:40" x14ac:dyDescent="0.25">
      <c r="AH226" s="365"/>
      <c r="AI226" s="365"/>
      <c r="AJ226" s="365"/>
      <c r="AK226" s="365"/>
      <c r="AL226" s="365"/>
      <c r="AM226" s="365"/>
      <c r="AN226" s="365"/>
    </row>
    <row r="227" spans="34:40" x14ac:dyDescent="0.25">
      <c r="AH227" s="483"/>
      <c r="AI227" s="483"/>
      <c r="AJ227" s="483"/>
      <c r="AK227" s="483"/>
      <c r="AL227" s="483"/>
      <c r="AM227" s="483"/>
    </row>
  </sheetData>
  <mergeCells count="72">
    <mergeCell ref="C69:D70"/>
    <mergeCell ref="C71:D72"/>
    <mergeCell ref="C73:D74"/>
    <mergeCell ref="C63:D64"/>
    <mergeCell ref="C65:D66"/>
    <mergeCell ref="B1:AJ1"/>
    <mergeCell ref="B34:J34"/>
    <mergeCell ref="B35:J35"/>
    <mergeCell ref="B37:I37"/>
    <mergeCell ref="B38:J38"/>
    <mergeCell ref="B18:J18"/>
    <mergeCell ref="B19:J19"/>
    <mergeCell ref="B20:J20"/>
    <mergeCell ref="B21:J21"/>
    <mergeCell ref="B22:J22"/>
    <mergeCell ref="C9:C11"/>
    <mergeCell ref="B12:B13"/>
    <mergeCell ref="C12:C13"/>
    <mergeCell ref="B16:J16"/>
    <mergeCell ref="B9:B11"/>
    <mergeCell ref="B17:J17"/>
    <mergeCell ref="C110:C112"/>
    <mergeCell ref="A104:A106"/>
    <mergeCell ref="B104:B106"/>
    <mergeCell ref="C104:C106"/>
    <mergeCell ref="A107:A109"/>
    <mergeCell ref="B107:B109"/>
    <mergeCell ref="C107:C109"/>
    <mergeCell ref="A110:A112"/>
    <mergeCell ref="B110:B112"/>
    <mergeCell ref="C55:D56"/>
    <mergeCell ref="C57:D58"/>
    <mergeCell ref="C59:D60"/>
    <mergeCell ref="C61:D62"/>
    <mergeCell ref="C67:D68"/>
    <mergeCell ref="B36:J36"/>
    <mergeCell ref="B48:D48"/>
    <mergeCell ref="B46:D46"/>
    <mergeCell ref="B40:J40"/>
    <mergeCell ref="B44:D44"/>
    <mergeCell ref="B45:D45"/>
    <mergeCell ref="B47:D47"/>
    <mergeCell ref="A101:A103"/>
    <mergeCell ref="B101:B103"/>
    <mergeCell ref="C101:C103"/>
    <mergeCell ref="B81:I81"/>
    <mergeCell ref="A87:A89"/>
    <mergeCell ref="B87:B89"/>
    <mergeCell ref="C87:C89"/>
    <mergeCell ref="A94:A95"/>
    <mergeCell ref="B94:B95"/>
    <mergeCell ref="C94:C95"/>
    <mergeCell ref="C138:D139"/>
    <mergeCell ref="C140:D141"/>
    <mergeCell ref="C142:D143"/>
    <mergeCell ref="C144:D145"/>
    <mergeCell ref="C146:D147"/>
    <mergeCell ref="C148:D149"/>
    <mergeCell ref="C150:D151"/>
    <mergeCell ref="C152:D153"/>
    <mergeCell ref="C154:D155"/>
    <mergeCell ref="C156:D157"/>
    <mergeCell ref="C161:D162"/>
    <mergeCell ref="C163:D164"/>
    <mergeCell ref="C165:D166"/>
    <mergeCell ref="C167:D168"/>
    <mergeCell ref="C169:D170"/>
    <mergeCell ref="C171:D172"/>
    <mergeCell ref="C173:D174"/>
    <mergeCell ref="C175:D176"/>
    <mergeCell ref="C177:D178"/>
    <mergeCell ref="C179:D180"/>
  </mergeCells>
  <pageMargins left="0.7" right="0.7" top="0.75" bottom="0.75" header="0.3" footer="0.3"/>
  <pageSetup paperSize="8" scale="3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1"/>
  <sheetViews>
    <sheetView view="pageBreakPreview" zoomScale="70" zoomScaleNormal="70" zoomScaleSheetLayoutView="70" zoomScalePageLayoutView="60" workbookViewId="0">
      <selection activeCell="L10" sqref="L10"/>
    </sheetView>
  </sheetViews>
  <sheetFormatPr baseColWidth="10" defaultColWidth="9.140625" defaultRowHeight="15" x14ac:dyDescent="0.25"/>
  <cols>
    <col min="2" max="2" width="32.85546875" bestFit="1" customWidth="1"/>
    <col min="3" max="3" width="15" style="1" bestFit="1" customWidth="1"/>
    <col min="4" max="4" width="30.28515625" style="1" bestFit="1" customWidth="1"/>
    <col min="5" max="9" width="11.140625" bestFit="1" customWidth="1"/>
    <col min="10" max="10" width="11.85546875" customWidth="1"/>
    <col min="11" max="11" width="11.85546875" style="358" customWidth="1"/>
    <col min="12" max="13" width="11.5703125" customWidth="1"/>
    <col min="14" max="14" width="9.42578125" customWidth="1"/>
    <col min="15" max="15" width="9.85546875" bestFit="1" customWidth="1"/>
    <col min="16" max="16" width="10.28515625" bestFit="1" customWidth="1"/>
    <col min="17" max="19" width="12.28515625" bestFit="1" customWidth="1"/>
    <col min="20" max="20" width="13.28515625" bestFit="1" customWidth="1"/>
  </cols>
  <sheetData>
    <row r="1" spans="1:20" ht="23.25" x14ac:dyDescent="0.35">
      <c r="A1" s="568"/>
      <c r="B1" s="1013" t="s">
        <v>210</v>
      </c>
      <c r="C1" s="1013"/>
      <c r="D1" s="1013"/>
      <c r="E1" s="1013"/>
      <c r="F1" s="1013"/>
      <c r="G1" s="1013"/>
      <c r="H1" s="1013"/>
      <c r="I1" s="1013"/>
      <c r="J1" s="1013"/>
      <c r="K1" s="1013"/>
      <c r="L1" s="1013"/>
      <c r="M1" s="1013"/>
      <c r="N1" s="1013"/>
      <c r="O1" s="1013"/>
      <c r="P1" s="1013"/>
      <c r="Q1" s="1013"/>
      <c r="R1" s="1013"/>
      <c r="S1" s="1013"/>
      <c r="T1" s="1013"/>
    </row>
    <row r="2" spans="1:20" x14ac:dyDescent="0.25">
      <c r="A2" s="568"/>
      <c r="B2" s="568"/>
      <c r="C2" s="568"/>
      <c r="D2" s="568"/>
      <c r="E2" s="568"/>
      <c r="F2" s="568"/>
      <c r="G2" s="568"/>
      <c r="H2" s="568"/>
      <c r="I2" s="568"/>
      <c r="J2" s="568"/>
      <c r="K2" s="568"/>
      <c r="L2" s="568"/>
      <c r="M2" s="568"/>
      <c r="N2" s="568"/>
      <c r="O2" s="568"/>
      <c r="P2" s="568"/>
      <c r="Q2" s="568"/>
      <c r="R2" s="568"/>
      <c r="S2" s="568"/>
      <c r="T2" s="568"/>
    </row>
    <row r="3" spans="1:20" x14ac:dyDescent="0.25">
      <c r="A3" s="568"/>
      <c r="B3" s="569" t="s">
        <v>0</v>
      </c>
      <c r="C3" s="793"/>
      <c r="D3" s="793"/>
      <c r="E3" s="1015" t="s">
        <v>1</v>
      </c>
      <c r="F3" s="1015"/>
      <c r="G3" s="1015"/>
      <c r="H3" s="1015"/>
      <c r="I3" s="1015"/>
      <c r="J3" s="1015"/>
      <c r="K3" s="725"/>
      <c r="L3" s="568"/>
      <c r="M3" s="568"/>
      <c r="N3" s="568"/>
      <c r="O3" s="568"/>
      <c r="P3" s="568"/>
      <c r="Q3" s="568"/>
      <c r="R3" s="568"/>
      <c r="S3" s="568"/>
      <c r="T3" s="568"/>
    </row>
    <row r="4" spans="1:20" x14ac:dyDescent="0.25">
      <c r="A4" s="568"/>
      <c r="B4" s="528" t="s">
        <v>2</v>
      </c>
      <c r="C4" s="794" t="s">
        <v>3</v>
      </c>
      <c r="D4" s="794"/>
      <c r="E4" s="794">
        <v>2014</v>
      </c>
      <c r="F4" s="794">
        <v>2015</v>
      </c>
      <c r="G4" s="794">
        <v>2016</v>
      </c>
      <c r="H4" s="794">
        <v>2017</v>
      </c>
      <c r="I4" s="794">
        <v>2018</v>
      </c>
      <c r="J4" s="735">
        <v>2019</v>
      </c>
      <c r="K4" s="528">
        <v>2020</v>
      </c>
      <c r="L4" s="568"/>
      <c r="M4" s="795" t="s">
        <v>363</v>
      </c>
      <c r="N4" s="568"/>
      <c r="O4" s="568"/>
      <c r="P4" s="572"/>
      <c r="Q4" s="795" t="s">
        <v>337</v>
      </c>
      <c r="R4" s="572"/>
      <c r="S4" s="572"/>
      <c r="T4" s="568"/>
    </row>
    <row r="5" spans="1:20" x14ac:dyDescent="0.25">
      <c r="A5" s="568"/>
      <c r="B5" s="577" t="s">
        <v>4</v>
      </c>
      <c r="C5" s="796" t="s">
        <v>5</v>
      </c>
      <c r="D5" s="796"/>
      <c r="E5" s="797">
        <v>1708</v>
      </c>
      <c r="F5" s="797">
        <v>1751</v>
      </c>
      <c r="G5" s="797">
        <v>1707</v>
      </c>
      <c r="H5" s="579">
        <v>1714</v>
      </c>
      <c r="I5" s="579">
        <v>1787</v>
      </c>
      <c r="J5" s="579">
        <v>1756.6</v>
      </c>
      <c r="K5" s="577">
        <v>1729</v>
      </c>
      <c r="L5" s="568"/>
      <c r="M5" s="568"/>
      <c r="N5" s="568"/>
      <c r="O5" s="568"/>
      <c r="P5" s="572"/>
      <c r="Q5" s="572"/>
      <c r="R5" s="572"/>
      <c r="S5" s="798" t="s">
        <v>130</v>
      </c>
      <c r="T5" s="568"/>
    </row>
    <row r="6" spans="1:20" x14ac:dyDescent="0.25">
      <c r="A6" s="568"/>
      <c r="B6" s="577" t="s">
        <v>6</v>
      </c>
      <c r="C6" s="584">
        <v>1000</v>
      </c>
      <c r="D6" s="799"/>
      <c r="E6" s="579">
        <v>4108206.3220000002</v>
      </c>
      <c r="F6" s="579">
        <v>4104323.08</v>
      </c>
      <c r="G6" s="579">
        <v>4023182.5180000002</v>
      </c>
      <c r="H6" s="579">
        <v>4158975</v>
      </c>
      <c r="I6" s="605">
        <v>4021445</v>
      </c>
      <c r="J6" s="605">
        <v>3994116</v>
      </c>
      <c r="K6" s="800" t="s">
        <v>23</v>
      </c>
      <c r="L6" s="568"/>
      <c r="M6" s="747" t="s">
        <v>232</v>
      </c>
      <c r="N6" s="568"/>
      <c r="O6" s="801">
        <f>K43</f>
        <v>0</v>
      </c>
      <c r="P6" s="572"/>
      <c r="Q6" s="747" t="s">
        <v>232</v>
      </c>
      <c r="R6" s="747"/>
      <c r="S6" s="801">
        <f>J43</f>
        <v>0</v>
      </c>
      <c r="T6" s="568"/>
    </row>
    <row r="7" spans="1:20" x14ac:dyDescent="0.25">
      <c r="A7" s="568"/>
      <c r="B7" s="577" t="s">
        <v>8</v>
      </c>
      <c r="C7" s="796" t="s">
        <v>9</v>
      </c>
      <c r="D7" s="796"/>
      <c r="E7" s="579">
        <v>1607.6331569310003</v>
      </c>
      <c r="F7" s="579">
        <v>1658.0370759689997</v>
      </c>
      <c r="G7" s="579">
        <v>1687.6591149999999</v>
      </c>
      <c r="H7" s="579">
        <v>1721.0155438860006</v>
      </c>
      <c r="I7" s="579">
        <v>1819.4875533890004</v>
      </c>
      <c r="J7" s="579">
        <v>1854.8839883619994</v>
      </c>
      <c r="K7" s="577">
        <v>1857</v>
      </c>
      <c r="L7" s="600">
        <f>LINEST(E7:K7,E4:K4)/AVERAGE(E7:K7)</f>
        <v>2.6086604570022057E-2</v>
      </c>
      <c r="M7" s="747" t="s">
        <v>253</v>
      </c>
      <c r="N7" s="568"/>
      <c r="O7" s="801">
        <f>K42</f>
        <v>1</v>
      </c>
      <c r="P7" s="572"/>
      <c r="Q7" s="747" t="s">
        <v>253</v>
      </c>
      <c r="R7" s="747"/>
      <c r="S7" s="801">
        <f>J42</f>
        <v>1</v>
      </c>
      <c r="T7" s="568"/>
    </row>
    <row r="8" spans="1:20" x14ac:dyDescent="0.25">
      <c r="A8" s="568"/>
      <c r="B8" s="577" t="s">
        <v>10</v>
      </c>
      <c r="C8" s="584">
        <v>1000</v>
      </c>
      <c r="D8" s="799" t="s">
        <v>40</v>
      </c>
      <c r="E8" s="644">
        <v>3195513.3948590499</v>
      </c>
      <c r="F8" s="644">
        <v>3123082.0251893299</v>
      </c>
      <c r="G8" s="644">
        <v>3039405.21855827</v>
      </c>
      <c r="H8" s="667">
        <v>2956884</v>
      </c>
      <c r="I8" s="667">
        <v>2944103</v>
      </c>
      <c r="J8" s="667">
        <v>2958527</v>
      </c>
      <c r="K8" s="800" t="s">
        <v>23</v>
      </c>
      <c r="L8" s="568"/>
      <c r="M8" s="568"/>
      <c r="N8" s="568"/>
      <c r="O8" s="568"/>
      <c r="P8" s="572"/>
      <c r="Q8" s="568"/>
      <c r="R8" s="568"/>
      <c r="S8" s="572"/>
      <c r="T8" s="568"/>
    </row>
    <row r="9" spans="1:20" x14ac:dyDescent="0.25">
      <c r="A9" s="568"/>
      <c r="B9" s="946" t="s">
        <v>12</v>
      </c>
      <c r="C9" s="794" t="s">
        <v>13</v>
      </c>
      <c r="D9" s="799" t="s">
        <v>14</v>
      </c>
      <c r="E9" s="802">
        <v>3.5424788403583101</v>
      </c>
      <c r="F9" s="802">
        <v>3.3641432155261501</v>
      </c>
      <c r="G9" s="802">
        <v>3.0183678020907001</v>
      </c>
      <c r="H9" s="592">
        <v>2.8850656104242001</v>
      </c>
      <c r="I9" s="803">
        <v>3.63</v>
      </c>
      <c r="J9" s="804"/>
      <c r="K9" s="577"/>
      <c r="L9" s="568"/>
      <c r="M9" s="747" t="s">
        <v>231</v>
      </c>
      <c r="N9" s="568"/>
      <c r="O9" s="583">
        <f>K49</f>
        <v>0.15746099999999999</v>
      </c>
      <c r="P9" s="572"/>
      <c r="Q9" s="747" t="s">
        <v>231</v>
      </c>
      <c r="R9" s="747"/>
      <c r="S9" s="583">
        <f>J49</f>
        <v>4.9757999999999997E-2</v>
      </c>
      <c r="T9" s="568"/>
    </row>
    <row r="10" spans="1:20" x14ac:dyDescent="0.25">
      <c r="A10" s="568"/>
      <c r="B10" s="946"/>
      <c r="C10" s="794" t="s">
        <v>39</v>
      </c>
      <c r="D10" s="799" t="s">
        <v>38</v>
      </c>
      <c r="E10" s="802">
        <v>2.21</v>
      </c>
      <c r="F10" s="802">
        <v>2.2149999999999999</v>
      </c>
      <c r="G10" s="802">
        <v>2.2583333333333302</v>
      </c>
      <c r="H10" s="592">
        <v>2.2999999999999998</v>
      </c>
      <c r="I10" s="592">
        <v>2.2999999999999998</v>
      </c>
      <c r="J10" s="593">
        <v>2.3000000000000078</v>
      </c>
      <c r="K10" s="577">
        <v>2.25</v>
      </c>
      <c r="L10" s="568"/>
      <c r="M10" s="747" t="s">
        <v>251</v>
      </c>
      <c r="N10" s="568"/>
      <c r="O10" s="583">
        <f>K48</f>
        <v>10.819956999999999</v>
      </c>
      <c r="P10" s="572"/>
      <c r="Q10" s="747" t="s">
        <v>251</v>
      </c>
      <c r="R10" s="747"/>
      <c r="S10" s="583">
        <f>J48</f>
        <v>16.300151999999997</v>
      </c>
      <c r="T10" s="568"/>
    </row>
    <row r="11" spans="1:20" x14ac:dyDescent="0.25">
      <c r="A11" s="568"/>
      <c r="B11" s="577" t="s">
        <v>37</v>
      </c>
      <c r="C11" s="796" t="s">
        <v>13</v>
      </c>
      <c r="D11" s="796"/>
      <c r="E11" s="802">
        <v>7.8207295575869598</v>
      </c>
      <c r="F11" s="802">
        <v>7.7060919549571496</v>
      </c>
      <c r="G11" s="802">
        <v>7.70213961179756</v>
      </c>
      <c r="H11" s="592">
        <v>7.74</v>
      </c>
      <c r="I11" s="592">
        <v>7.82</v>
      </c>
      <c r="J11" s="593">
        <v>7.9519885434353084</v>
      </c>
      <c r="K11" s="577">
        <v>8.0500000000000007</v>
      </c>
      <c r="L11" s="568"/>
      <c r="M11" s="568"/>
      <c r="N11" s="568"/>
      <c r="O11" s="568"/>
      <c r="P11" s="572"/>
      <c r="Q11" s="568"/>
      <c r="R11" s="568"/>
      <c r="S11" s="572"/>
      <c r="T11" s="568"/>
    </row>
    <row r="12" spans="1:20" x14ac:dyDescent="0.25">
      <c r="A12" s="568"/>
      <c r="B12" s="568"/>
      <c r="C12" s="568"/>
      <c r="D12" s="568"/>
      <c r="E12" s="568"/>
      <c r="F12" s="568"/>
      <c r="G12" s="568"/>
      <c r="H12" s="572"/>
      <c r="I12" s="572"/>
      <c r="J12" s="568"/>
      <c r="K12" s="568"/>
      <c r="L12" s="568"/>
      <c r="M12" s="747" t="s">
        <v>284</v>
      </c>
      <c r="N12" s="568"/>
      <c r="O12" s="583">
        <f>K45</f>
        <v>60</v>
      </c>
      <c r="P12" s="572" t="s">
        <v>285</v>
      </c>
      <c r="Q12" s="747" t="s">
        <v>284</v>
      </c>
      <c r="R12" s="572"/>
      <c r="S12" s="583">
        <f>J45</f>
        <v>55</v>
      </c>
      <c r="T12" s="572" t="s">
        <v>285</v>
      </c>
    </row>
    <row r="13" spans="1:20" x14ac:dyDescent="0.25">
      <c r="A13" s="568"/>
      <c r="B13" s="805" t="s">
        <v>18</v>
      </c>
      <c r="C13" s="805"/>
      <c r="D13" s="805"/>
      <c r="E13" s="805"/>
      <c r="F13" s="805"/>
      <c r="G13" s="805"/>
      <c r="H13" s="805"/>
      <c r="I13" s="805"/>
      <c r="J13" s="805"/>
      <c r="K13" s="805"/>
      <c r="L13" s="568"/>
      <c r="M13" s="572" t="s">
        <v>248</v>
      </c>
      <c r="N13" s="568"/>
      <c r="O13" s="600">
        <f>LINEST(E45:K45,E41:K41)/AVERAGE(E45:K45)</f>
        <v>-1.9230769230769243E-3</v>
      </c>
      <c r="P13" s="572"/>
      <c r="Q13" s="572"/>
      <c r="R13" s="572"/>
      <c r="S13" s="568"/>
      <c r="T13" s="572"/>
    </row>
    <row r="14" spans="1:20" x14ac:dyDescent="0.25">
      <c r="A14" s="568"/>
      <c r="B14" s="1014" t="s">
        <v>388</v>
      </c>
      <c r="C14" s="1014"/>
      <c r="D14" s="1014"/>
      <c r="E14" s="1014"/>
      <c r="F14" s="1014"/>
      <c r="G14" s="1014"/>
      <c r="H14" s="1014"/>
      <c r="I14" s="1014"/>
      <c r="J14" s="1014"/>
      <c r="K14" s="806"/>
      <c r="L14" s="568"/>
      <c r="M14" s="747" t="s">
        <v>283</v>
      </c>
      <c r="N14" s="568"/>
      <c r="O14" s="583">
        <f>K44</f>
        <v>250</v>
      </c>
      <c r="P14" s="572" t="s">
        <v>285</v>
      </c>
      <c r="Q14" s="747" t="s">
        <v>283</v>
      </c>
      <c r="R14" s="572"/>
      <c r="S14" s="583">
        <f>J44</f>
        <v>273</v>
      </c>
      <c r="T14" s="572" t="s">
        <v>285</v>
      </c>
    </row>
    <row r="15" spans="1:20" x14ac:dyDescent="0.25">
      <c r="A15" s="568"/>
      <c r="B15" s="1014" t="s">
        <v>389</v>
      </c>
      <c r="C15" s="1014"/>
      <c r="D15" s="1014"/>
      <c r="E15" s="1014"/>
      <c r="F15" s="1014"/>
      <c r="G15" s="1014"/>
      <c r="H15" s="1014"/>
      <c r="I15" s="1014"/>
      <c r="J15" s="1014"/>
      <c r="K15" s="806"/>
      <c r="L15" s="568"/>
      <c r="M15" s="572" t="s">
        <v>246</v>
      </c>
      <c r="N15" s="568"/>
      <c r="O15" s="599">
        <f>O14/J26*1000</f>
        <v>8.621085511042216E-3</v>
      </c>
      <c r="P15" s="572"/>
      <c r="Q15" s="572" t="s">
        <v>246</v>
      </c>
      <c r="R15" s="572"/>
      <c r="S15" s="599">
        <f>S14/J26*1000</f>
        <v>9.4142253780581005E-3</v>
      </c>
      <c r="T15" s="568"/>
    </row>
    <row r="16" spans="1:20" x14ac:dyDescent="0.25">
      <c r="A16" s="568"/>
      <c r="B16" s="1014" t="s">
        <v>390</v>
      </c>
      <c r="C16" s="1014"/>
      <c r="D16" s="1014"/>
      <c r="E16" s="1014"/>
      <c r="F16" s="1014"/>
      <c r="G16" s="1014"/>
      <c r="H16" s="1014"/>
      <c r="I16" s="1014"/>
      <c r="J16" s="1014"/>
      <c r="K16" s="806"/>
      <c r="L16" s="568"/>
      <c r="M16" s="572" t="s">
        <v>248</v>
      </c>
      <c r="N16" s="568"/>
      <c r="O16" s="600">
        <f>LINEST(E44:K44,E41:K41)/AVERAGE(E44:K44)</f>
        <v>-0.11882470119521912</v>
      </c>
      <c r="P16" s="572"/>
      <c r="Q16" s="572" t="s">
        <v>248</v>
      </c>
      <c r="R16" s="572"/>
      <c r="S16" s="568"/>
      <c r="T16" s="568"/>
    </row>
    <row r="17" spans="1:20" x14ac:dyDescent="0.25">
      <c r="A17" s="568"/>
      <c r="B17" s="1014" t="s">
        <v>391</v>
      </c>
      <c r="C17" s="1014"/>
      <c r="D17" s="1014"/>
      <c r="E17" s="1014"/>
      <c r="F17" s="1014"/>
      <c r="G17" s="1014"/>
      <c r="H17" s="1014"/>
      <c r="I17" s="1014"/>
      <c r="J17" s="1014"/>
      <c r="K17" s="806"/>
      <c r="L17" s="568"/>
      <c r="M17" s="568"/>
      <c r="N17" s="568"/>
      <c r="O17" s="568"/>
      <c r="P17" s="572"/>
      <c r="Q17" s="568"/>
      <c r="R17" s="568"/>
      <c r="S17" s="572"/>
      <c r="T17" s="568"/>
    </row>
    <row r="18" spans="1:20" x14ac:dyDescent="0.25">
      <c r="A18" s="568"/>
      <c r="B18" s="1014" t="s">
        <v>392</v>
      </c>
      <c r="C18" s="1014"/>
      <c r="D18" s="1014"/>
      <c r="E18" s="1014"/>
      <c r="F18" s="1014"/>
      <c r="G18" s="1014"/>
      <c r="H18" s="1014"/>
      <c r="I18" s="1014"/>
      <c r="J18" s="1014"/>
      <c r="K18" s="806"/>
      <c r="L18" s="568"/>
      <c r="M18" s="582" t="s">
        <v>298</v>
      </c>
      <c r="N18" s="568"/>
      <c r="O18" s="583">
        <f>K47</f>
        <v>1031</v>
      </c>
      <c r="P18" s="572"/>
      <c r="Q18" s="582" t="s">
        <v>298</v>
      </c>
      <c r="R18" s="582"/>
      <c r="S18" s="583">
        <f>J47</f>
        <v>1161</v>
      </c>
      <c r="T18" s="568"/>
    </row>
    <row r="19" spans="1:20" x14ac:dyDescent="0.25">
      <c r="A19" s="568"/>
      <c r="B19" s="1014" t="s">
        <v>36</v>
      </c>
      <c r="C19" s="1014"/>
      <c r="D19" s="1014"/>
      <c r="E19" s="1014"/>
      <c r="F19" s="1014"/>
      <c r="G19" s="1014"/>
      <c r="H19" s="1014"/>
      <c r="I19" s="1014"/>
      <c r="J19" s="1014"/>
      <c r="K19" s="806"/>
      <c r="L19" s="568"/>
      <c r="M19" s="572" t="s">
        <v>245</v>
      </c>
      <c r="N19" s="568"/>
      <c r="O19" s="599">
        <f>O18/J8*1000</f>
        <v>0.34848422880710567</v>
      </c>
      <c r="P19" s="572"/>
      <c r="Q19" s="572" t="s">
        <v>245</v>
      </c>
      <c r="R19" s="568"/>
      <c r="S19" s="599">
        <f>S18/J8*1000</f>
        <v>0.39242501420470388</v>
      </c>
      <c r="T19" s="568"/>
    </row>
    <row r="20" spans="1:20" x14ac:dyDescent="0.25">
      <c r="A20" s="568"/>
      <c r="B20" s="1014" t="s">
        <v>393</v>
      </c>
      <c r="C20" s="1014"/>
      <c r="D20" s="1014"/>
      <c r="E20" s="1014"/>
      <c r="F20" s="1014"/>
      <c r="G20" s="1014"/>
      <c r="H20" s="1014"/>
      <c r="I20" s="1014"/>
      <c r="J20" s="1014"/>
      <c r="K20" s="806"/>
      <c r="L20" s="568"/>
      <c r="M20" s="582" t="s">
        <v>299</v>
      </c>
      <c r="N20" s="568"/>
      <c r="O20" s="583">
        <f>K46</f>
        <v>688</v>
      </c>
      <c r="P20" s="572"/>
      <c r="Q20" s="582" t="s">
        <v>299</v>
      </c>
      <c r="R20" s="582"/>
      <c r="S20" s="583">
        <f>J46</f>
        <v>800</v>
      </c>
      <c r="T20" s="568"/>
    </row>
    <row r="21" spans="1:20" x14ac:dyDescent="0.25">
      <c r="A21" s="568"/>
      <c r="B21" s="568"/>
      <c r="C21" s="568"/>
      <c r="D21" s="568"/>
      <c r="E21" s="568"/>
      <c r="F21" s="568"/>
      <c r="G21" s="568"/>
      <c r="H21" s="568"/>
      <c r="I21" s="568"/>
      <c r="J21" s="568"/>
      <c r="K21" s="568"/>
      <c r="L21" s="568"/>
      <c r="M21" s="572" t="s">
        <v>245</v>
      </c>
      <c r="N21" s="568"/>
      <c r="O21" s="599">
        <f>O20/J8*1000</f>
        <v>0.23254815656575045</v>
      </c>
      <c r="P21" s="572"/>
      <c r="Q21" s="572" t="s">
        <v>246</v>
      </c>
      <c r="R21" s="568"/>
      <c r="S21" s="599">
        <f>S20/J6*1000</f>
        <v>0.20029463340573983</v>
      </c>
      <c r="T21" s="568"/>
    </row>
    <row r="22" spans="1:20" x14ac:dyDescent="0.25">
      <c r="A22" s="568"/>
      <c r="B22" s="793" t="s">
        <v>19</v>
      </c>
      <c r="C22" s="793"/>
      <c r="D22" s="793"/>
      <c r="E22" s="807"/>
      <c r="F22" s="807"/>
      <c r="G22" s="807"/>
      <c r="H22" s="807"/>
      <c r="I22" s="807"/>
      <c r="J22" s="807"/>
      <c r="K22" s="807"/>
      <c r="L22" s="568"/>
      <c r="M22" s="568"/>
      <c r="N22" s="568"/>
      <c r="O22" s="568"/>
      <c r="P22" s="572"/>
      <c r="Q22" s="568"/>
      <c r="R22" s="568"/>
      <c r="S22" s="572"/>
      <c r="T22" s="568"/>
    </row>
    <row r="23" spans="1:20" x14ac:dyDescent="0.25">
      <c r="A23" s="568"/>
      <c r="B23" s="568"/>
      <c r="C23" s="568"/>
      <c r="D23" s="568"/>
      <c r="E23" s="1015" t="s">
        <v>20</v>
      </c>
      <c r="F23" s="1015"/>
      <c r="G23" s="1015"/>
      <c r="H23" s="1015"/>
      <c r="I23" s="1015"/>
      <c r="J23" s="1015"/>
      <c r="K23" s="725"/>
      <c r="L23" s="568"/>
      <c r="M23" s="747" t="s">
        <v>162</v>
      </c>
      <c r="N23" s="568"/>
      <c r="O23" s="583">
        <f>K51</f>
        <v>501.57275600000003</v>
      </c>
      <c r="P23" s="572"/>
      <c r="Q23" s="747" t="s">
        <v>162</v>
      </c>
      <c r="R23" s="747"/>
      <c r="S23" s="583">
        <f>J51</f>
        <v>654.55469200000005</v>
      </c>
      <c r="T23" s="568"/>
    </row>
    <row r="24" spans="1:20" x14ac:dyDescent="0.25">
      <c r="A24" s="568"/>
      <c r="B24" s="528" t="s">
        <v>2</v>
      </c>
      <c r="C24" s="794" t="s">
        <v>3</v>
      </c>
      <c r="D24" s="794"/>
      <c r="E24" s="794">
        <v>2014</v>
      </c>
      <c r="F24" s="794">
        <v>2015</v>
      </c>
      <c r="G24" s="794">
        <v>2016</v>
      </c>
      <c r="H24" s="794">
        <v>2017</v>
      </c>
      <c r="I24" s="574">
        <v>2018</v>
      </c>
      <c r="J24" s="372" t="s">
        <v>353</v>
      </c>
      <c r="K24" s="794">
        <v>2020</v>
      </c>
      <c r="L24" s="568"/>
      <c r="M24" s="572" t="s">
        <v>245</v>
      </c>
      <c r="N24" s="568"/>
      <c r="O24" s="599">
        <f>O23/J26*1000</f>
        <v>1.7296406477940455E-2</v>
      </c>
      <c r="P24" s="572"/>
      <c r="Q24" s="572" t="s">
        <v>245</v>
      </c>
      <c r="R24" s="572"/>
      <c r="S24" s="599">
        <f>S23/J26*1000</f>
        <v>2.2571887885543603E-2</v>
      </c>
      <c r="T24" s="568"/>
    </row>
    <row r="25" spans="1:20" x14ac:dyDescent="0.25">
      <c r="A25" s="568"/>
      <c r="B25" s="577" t="s">
        <v>4</v>
      </c>
      <c r="C25" s="796" t="s">
        <v>5</v>
      </c>
      <c r="D25" s="796"/>
      <c r="E25" s="808">
        <v>13202.906579612729</v>
      </c>
      <c r="F25" s="808">
        <v>13786.068918673758</v>
      </c>
      <c r="G25" s="808">
        <v>14430.544882086699</v>
      </c>
      <c r="H25" s="808">
        <v>14529.972316120253</v>
      </c>
      <c r="I25" s="809">
        <v>15153.045357324037</v>
      </c>
      <c r="J25" s="810">
        <v>15372</v>
      </c>
      <c r="K25" s="577">
        <v>13561</v>
      </c>
      <c r="L25" s="568"/>
      <c r="M25" s="572" t="s">
        <v>248</v>
      </c>
      <c r="N25" s="568"/>
      <c r="O25" s="600">
        <f>LINEST(E51:K51,E41:K41)/AVERAGE(E51:K51)</f>
        <v>6.9299277877356959E-3</v>
      </c>
      <c r="P25" s="572"/>
      <c r="Q25" s="572"/>
      <c r="R25" s="568"/>
      <c r="S25" s="568"/>
      <c r="T25" s="568"/>
    </row>
    <row r="26" spans="1:20" x14ac:dyDescent="0.25">
      <c r="A26" s="568"/>
      <c r="B26" s="577" t="s">
        <v>6</v>
      </c>
      <c r="C26" s="584">
        <v>1000</v>
      </c>
      <c r="D26" s="799" t="s">
        <v>21</v>
      </c>
      <c r="E26" s="797">
        <v>34587113.119999997</v>
      </c>
      <c r="F26" s="797">
        <v>33766031.369000003</v>
      </c>
      <c r="G26" s="797">
        <v>33831477.104000002</v>
      </c>
      <c r="H26" s="797">
        <v>33318723.618000001</v>
      </c>
      <c r="I26" s="811">
        <v>34156975</v>
      </c>
      <c r="J26" s="590">
        <v>28998668.402000006</v>
      </c>
      <c r="K26" s="800" t="s">
        <v>23</v>
      </c>
      <c r="L26" s="568"/>
      <c r="M26" s="747" t="s">
        <v>205</v>
      </c>
      <c r="N26" s="568"/>
      <c r="O26" s="583">
        <f>K50</f>
        <v>2711.7528709999997</v>
      </c>
      <c r="P26" s="572"/>
      <c r="Q26" s="747" t="s">
        <v>205</v>
      </c>
      <c r="R26" s="747"/>
      <c r="S26" s="583">
        <f>J50</f>
        <v>3024.6037729999998</v>
      </c>
      <c r="T26" s="568"/>
    </row>
    <row r="27" spans="1:20" x14ac:dyDescent="0.25">
      <c r="A27" s="568"/>
      <c r="B27" s="577" t="s">
        <v>8</v>
      </c>
      <c r="C27" s="796" t="s">
        <v>9</v>
      </c>
      <c r="D27" s="796"/>
      <c r="E27" s="797">
        <v>12338.623981707582</v>
      </c>
      <c r="F27" s="797">
        <v>12937.326899528189</v>
      </c>
      <c r="G27" s="797">
        <v>13557.338432343568</v>
      </c>
      <c r="H27" s="797">
        <v>13499.713622073086</v>
      </c>
      <c r="I27" s="579">
        <v>14021.988482217523</v>
      </c>
      <c r="J27" s="590">
        <v>14135.120985343967</v>
      </c>
      <c r="K27" s="800">
        <v>12380</v>
      </c>
      <c r="L27" s="600">
        <f>LINEST(E27:K27,E4:K4)/AVERAGE(E27:K27)</f>
        <v>8.0337101979201624E-3</v>
      </c>
      <c r="M27" s="572" t="s">
        <v>245</v>
      </c>
      <c r="N27" s="568"/>
      <c r="O27" s="599">
        <f>O26/J26*1000</f>
        <v>9.3513013542820919E-2</v>
      </c>
      <c r="P27" s="572"/>
      <c r="Q27" s="572" t="s">
        <v>245</v>
      </c>
      <c r="R27" s="572"/>
      <c r="S27" s="599">
        <f>S26/J26*1000</f>
        <v>0.10430147105621568</v>
      </c>
      <c r="T27" s="568"/>
    </row>
    <row r="28" spans="1:20" x14ac:dyDescent="0.25">
      <c r="A28" s="568"/>
      <c r="B28" s="577" t="s">
        <v>22</v>
      </c>
      <c r="C28" s="584">
        <v>1000</v>
      </c>
      <c r="D28" s="799"/>
      <c r="E28" s="812" t="s">
        <v>23</v>
      </c>
      <c r="F28" s="812" t="s">
        <v>23</v>
      </c>
      <c r="G28" s="812" t="s">
        <v>23</v>
      </c>
      <c r="H28" s="812" t="s">
        <v>23</v>
      </c>
      <c r="I28" s="603" t="s">
        <v>23</v>
      </c>
      <c r="J28" s="606" t="s">
        <v>23</v>
      </c>
      <c r="K28" s="800" t="s">
        <v>23</v>
      </c>
      <c r="L28" s="568"/>
      <c r="M28" s="572" t="s">
        <v>248</v>
      </c>
      <c r="N28" s="568"/>
      <c r="O28" s="600">
        <f>LINEST(E50:K50,E41:K41)/AVERAGE(E50:K50)</f>
        <v>8.1257957204615774E-3</v>
      </c>
      <c r="P28" s="572"/>
      <c r="Q28" s="572"/>
      <c r="R28" s="572"/>
      <c r="S28" s="568"/>
      <c r="T28" s="568"/>
    </row>
    <row r="29" spans="1:20" x14ac:dyDescent="0.25">
      <c r="A29" s="568"/>
      <c r="B29" s="577" t="s">
        <v>24</v>
      </c>
      <c r="C29" s="796" t="s">
        <v>13</v>
      </c>
      <c r="D29" s="796" t="s">
        <v>21</v>
      </c>
      <c r="E29" s="813">
        <v>1.9918336704850801</v>
      </c>
      <c r="F29" s="813">
        <v>1.8157673988713201</v>
      </c>
      <c r="G29" s="813">
        <v>1.9176058791878601</v>
      </c>
      <c r="H29" s="813">
        <v>1.9486391493740201</v>
      </c>
      <c r="I29" s="803">
        <v>2.2000000000000002</v>
      </c>
      <c r="J29" s="577">
        <v>1.89</v>
      </c>
      <c r="K29" s="800" t="s">
        <v>23</v>
      </c>
      <c r="L29" s="568"/>
      <c r="M29" s="568"/>
      <c r="N29" s="568"/>
      <c r="O29" s="572"/>
      <c r="P29" s="572"/>
      <c r="Q29" s="568"/>
      <c r="R29" s="568"/>
      <c r="S29" s="568"/>
      <c r="T29" s="568"/>
    </row>
    <row r="30" spans="1:20" x14ac:dyDescent="0.25">
      <c r="A30" s="568"/>
      <c r="B30" s="577" t="s">
        <v>26</v>
      </c>
      <c r="C30" s="796" t="s">
        <v>27</v>
      </c>
      <c r="D30" s="796"/>
      <c r="E30" s="813" t="s">
        <v>23</v>
      </c>
      <c r="F30" s="813" t="s">
        <v>23</v>
      </c>
      <c r="G30" s="813" t="s">
        <v>23</v>
      </c>
      <c r="H30" s="814">
        <v>100.75</v>
      </c>
      <c r="I30" s="815">
        <v>102.30500000000001</v>
      </c>
      <c r="J30" s="577">
        <v>103.59</v>
      </c>
      <c r="K30" s="800">
        <v>105.77</v>
      </c>
      <c r="L30" s="568"/>
      <c r="M30" s="568"/>
      <c r="N30" s="568"/>
      <c r="O30" s="572"/>
      <c r="P30" s="572"/>
      <c r="Q30" s="568"/>
      <c r="R30" s="568"/>
      <c r="S30" s="568"/>
      <c r="T30" s="568"/>
    </row>
    <row r="31" spans="1:20" x14ac:dyDescent="0.25">
      <c r="A31" s="568"/>
      <c r="B31" s="568"/>
      <c r="C31" s="816"/>
      <c r="D31" s="816"/>
      <c r="E31" s="568"/>
      <c r="F31" s="568"/>
      <c r="G31" s="568"/>
      <c r="H31" s="568"/>
      <c r="I31" s="572"/>
      <c r="J31" s="568"/>
      <c r="K31" s="568"/>
      <c r="L31" s="568"/>
      <c r="M31" s="568"/>
      <c r="N31" s="568"/>
      <c r="O31" s="572"/>
      <c r="P31" s="572"/>
      <c r="Q31" s="568"/>
      <c r="R31" s="568"/>
      <c r="S31" s="568"/>
      <c r="T31" s="568"/>
    </row>
    <row r="32" spans="1:20" x14ac:dyDescent="0.25">
      <c r="A32" s="568"/>
      <c r="B32" s="568" t="s">
        <v>18</v>
      </c>
      <c r="C32" s="568"/>
      <c r="D32" s="568"/>
      <c r="E32" s="568"/>
      <c r="F32" s="568"/>
      <c r="G32" s="568"/>
      <c r="H32" s="568"/>
      <c r="I32" s="568"/>
      <c r="J32" s="568"/>
      <c r="K32" s="568"/>
      <c r="L32" s="568"/>
      <c r="M32" s="568"/>
      <c r="N32" s="568"/>
      <c r="O32" s="572"/>
      <c r="P32" s="572"/>
      <c r="Q32" s="568"/>
      <c r="R32" s="568"/>
      <c r="S32" s="568"/>
      <c r="T32" s="568"/>
    </row>
    <row r="33" spans="1:20" ht="15" customHeight="1" x14ac:dyDescent="0.25">
      <c r="A33" s="568"/>
      <c r="B33" s="1016" t="s">
        <v>394</v>
      </c>
      <c r="C33" s="1016"/>
      <c r="D33" s="1016"/>
      <c r="E33" s="1016"/>
      <c r="F33" s="1016"/>
      <c r="G33" s="1016"/>
      <c r="H33" s="1016"/>
      <c r="I33" s="1016"/>
      <c r="J33" s="1016"/>
      <c r="K33" s="817"/>
      <c r="L33" s="568"/>
      <c r="M33" s="568"/>
      <c r="N33" s="568"/>
      <c r="O33" s="572"/>
      <c r="P33" s="572"/>
      <c r="Q33" s="568"/>
      <c r="R33" s="568"/>
      <c r="S33" s="568"/>
      <c r="T33" s="568"/>
    </row>
    <row r="34" spans="1:20" ht="15" customHeight="1" x14ac:dyDescent="0.25">
      <c r="A34" s="568"/>
      <c r="B34" s="1016" t="s">
        <v>395</v>
      </c>
      <c r="C34" s="1016"/>
      <c r="D34" s="1016"/>
      <c r="E34" s="1016"/>
      <c r="F34" s="1016"/>
      <c r="G34" s="1016"/>
      <c r="H34" s="1016"/>
      <c r="I34" s="1016"/>
      <c r="J34" s="1016"/>
      <c r="K34" s="817"/>
      <c r="L34" s="568"/>
      <c r="M34" s="568"/>
      <c r="N34" s="568"/>
      <c r="O34" s="572"/>
      <c r="P34" s="572"/>
      <c r="Q34" s="568"/>
      <c r="R34" s="568"/>
      <c r="S34" s="568"/>
      <c r="T34" s="568"/>
    </row>
    <row r="35" spans="1:20" ht="15" customHeight="1" x14ac:dyDescent="0.25">
      <c r="B35" s="1017" t="s">
        <v>35</v>
      </c>
      <c r="C35" s="1017"/>
      <c r="D35" s="1017"/>
      <c r="E35" s="1017"/>
      <c r="F35" s="1017"/>
      <c r="G35" s="1017"/>
      <c r="H35" s="1017"/>
      <c r="I35" s="1017"/>
      <c r="J35" s="1017"/>
      <c r="K35" s="361"/>
      <c r="O35" s="68"/>
      <c r="P35" s="68"/>
    </row>
    <row r="36" spans="1:20" x14ac:dyDescent="0.25">
      <c r="B36" s="1017" t="s">
        <v>204</v>
      </c>
      <c r="C36" s="1017"/>
      <c r="D36" s="1017"/>
      <c r="E36" s="1017"/>
      <c r="F36" s="1017"/>
      <c r="G36" s="1017"/>
      <c r="H36" s="1017"/>
      <c r="I36" s="1017"/>
      <c r="J36" s="10"/>
      <c r="K36" s="359"/>
      <c r="O36" s="68"/>
      <c r="P36" s="68"/>
    </row>
    <row r="37" spans="1:20" ht="15" customHeight="1" x14ac:dyDescent="0.25">
      <c r="B37" s="1017" t="s">
        <v>34</v>
      </c>
      <c r="C37" s="1017"/>
      <c r="D37" s="1017"/>
      <c r="E37" s="1017"/>
      <c r="F37" s="1017"/>
      <c r="G37" s="1017"/>
      <c r="H37" s="1017"/>
      <c r="I37" s="1017"/>
      <c r="J37" s="1017"/>
      <c r="K37" s="361"/>
    </row>
    <row r="38" spans="1:20" x14ac:dyDescent="0.25">
      <c r="B38" s="1017"/>
      <c r="C38" s="1017"/>
      <c r="D38" s="1017"/>
      <c r="E38" s="1017"/>
      <c r="F38" s="1017"/>
      <c r="G38" s="1017"/>
      <c r="H38" s="1017"/>
      <c r="I38" s="1017"/>
      <c r="J38" s="1017"/>
      <c r="K38" s="361"/>
    </row>
    <row r="39" spans="1:20" ht="18.75" customHeight="1" x14ac:dyDescent="0.3">
      <c r="B39" s="1018" t="s">
        <v>33</v>
      </c>
      <c r="C39" s="1018"/>
      <c r="D39" s="1018"/>
      <c r="E39" s="1018"/>
      <c r="F39" s="1018"/>
      <c r="G39" s="1018"/>
      <c r="H39" s="1018"/>
      <c r="I39" s="1018"/>
      <c r="J39" s="1018"/>
      <c r="K39" s="818"/>
      <c r="L39" s="568"/>
      <c r="M39" s="568"/>
    </row>
    <row r="40" spans="1:20" ht="15.75" thickBot="1" x14ac:dyDescent="0.3">
      <c r="B40" s="568"/>
      <c r="C40" s="816"/>
      <c r="D40" s="816"/>
      <c r="E40" s="568"/>
      <c r="F40" s="568"/>
      <c r="G40" s="568"/>
      <c r="H40" s="568"/>
      <c r="I40" s="568"/>
      <c r="J40" s="568"/>
      <c r="K40" s="568"/>
      <c r="L40" s="568"/>
      <c r="M40" s="568"/>
    </row>
    <row r="41" spans="1:20" ht="15.75" thickBot="1" x14ac:dyDescent="0.3">
      <c r="B41" s="819" t="s">
        <v>130</v>
      </c>
      <c r="C41" s="820" t="s">
        <v>68</v>
      </c>
      <c r="D41" s="821" t="s">
        <v>69</v>
      </c>
      <c r="E41" s="822">
        <v>2014</v>
      </c>
      <c r="F41" s="820">
        <v>2015</v>
      </c>
      <c r="G41" s="820">
        <v>2016</v>
      </c>
      <c r="H41" s="823">
        <v>2017</v>
      </c>
      <c r="I41" s="824">
        <v>2018</v>
      </c>
      <c r="J41" s="821">
        <v>2019</v>
      </c>
      <c r="K41" s="821">
        <v>2020</v>
      </c>
      <c r="L41" s="568"/>
      <c r="M41" s="568"/>
    </row>
    <row r="42" spans="1:20" ht="15" customHeight="1" x14ac:dyDescent="0.25">
      <c r="B42" s="636" t="s">
        <v>99</v>
      </c>
      <c r="C42" s="825" t="s">
        <v>0</v>
      </c>
      <c r="D42" s="826" t="s">
        <v>295</v>
      </c>
      <c r="E42" s="456">
        <v>2</v>
      </c>
      <c r="F42" s="457">
        <v>1</v>
      </c>
      <c r="G42" s="457">
        <v>1</v>
      </c>
      <c r="H42" s="458">
        <v>1</v>
      </c>
      <c r="I42" s="459">
        <v>1</v>
      </c>
      <c r="J42" s="308">
        <v>1</v>
      </c>
      <c r="K42" s="308">
        <v>1</v>
      </c>
      <c r="L42" s="568"/>
      <c r="M42" s="568"/>
    </row>
    <row r="43" spans="1:20" ht="15.75" thickBot="1" x14ac:dyDescent="0.3">
      <c r="B43" s="639" t="str">
        <f t="shared" ref="B43:B51" si="0">B42</f>
        <v>Volaille</v>
      </c>
      <c r="C43" s="827" t="s">
        <v>67</v>
      </c>
      <c r="D43" s="828" t="s">
        <v>72</v>
      </c>
      <c r="E43" s="130">
        <v>0</v>
      </c>
      <c r="F43" s="131">
        <v>0</v>
      </c>
      <c r="G43" s="131">
        <v>0</v>
      </c>
      <c r="H43" s="450">
        <v>0</v>
      </c>
      <c r="I43" s="451">
        <v>0</v>
      </c>
      <c r="J43" s="132">
        <v>0</v>
      </c>
      <c r="K43" s="132">
        <v>0</v>
      </c>
      <c r="L43" s="568"/>
      <c r="M43" s="568"/>
    </row>
    <row r="44" spans="1:20" x14ac:dyDescent="0.25">
      <c r="B44" s="636" t="str">
        <f t="shared" si="0"/>
        <v>Volaille</v>
      </c>
      <c r="C44" s="825" t="s">
        <v>0</v>
      </c>
      <c r="D44" s="826" t="s">
        <v>296</v>
      </c>
      <c r="E44" s="446">
        <v>465</v>
      </c>
      <c r="F44" s="447">
        <v>521</v>
      </c>
      <c r="G44" s="447">
        <v>358</v>
      </c>
      <c r="H44" s="448">
        <v>337</v>
      </c>
      <c r="I44" s="449">
        <v>306</v>
      </c>
      <c r="J44" s="309">
        <v>273</v>
      </c>
      <c r="K44" s="309">
        <v>250</v>
      </c>
      <c r="L44" s="568"/>
      <c r="M44" s="568"/>
    </row>
    <row r="45" spans="1:20" ht="15.75" thickBot="1" x14ac:dyDescent="0.3">
      <c r="B45" s="639" t="str">
        <f t="shared" si="0"/>
        <v>Volaille</v>
      </c>
      <c r="C45" s="827" t="s">
        <v>271</v>
      </c>
      <c r="D45" s="828" t="s">
        <v>297</v>
      </c>
      <c r="E45" s="130">
        <v>59</v>
      </c>
      <c r="F45" s="131">
        <v>58</v>
      </c>
      <c r="G45" s="131">
        <v>53</v>
      </c>
      <c r="H45" s="450">
        <v>52</v>
      </c>
      <c r="I45" s="451">
        <v>53</v>
      </c>
      <c r="J45" s="132">
        <v>55</v>
      </c>
      <c r="K45" s="132">
        <v>60</v>
      </c>
      <c r="L45" s="568"/>
      <c r="M45" s="568"/>
    </row>
    <row r="46" spans="1:20" x14ac:dyDescent="0.25">
      <c r="B46" s="636" t="s">
        <v>99</v>
      </c>
      <c r="C46" s="825" t="s">
        <v>0</v>
      </c>
      <c r="D46" s="826" t="s">
        <v>294</v>
      </c>
      <c r="E46" s="446">
        <v>987</v>
      </c>
      <c r="F46" s="447">
        <v>1030</v>
      </c>
      <c r="G46" s="447">
        <v>858</v>
      </c>
      <c r="H46" s="448">
        <v>847</v>
      </c>
      <c r="I46" s="449">
        <v>854</v>
      </c>
      <c r="J46" s="309">
        <v>800</v>
      </c>
      <c r="K46" s="309">
        <v>688</v>
      </c>
      <c r="L46" s="568"/>
      <c r="M46" s="568"/>
    </row>
    <row r="47" spans="1:20" ht="15.75" thickBot="1" x14ac:dyDescent="0.3">
      <c r="B47" s="639" t="s">
        <v>99</v>
      </c>
      <c r="C47" s="827" t="s">
        <v>70</v>
      </c>
      <c r="D47" s="828" t="s">
        <v>72</v>
      </c>
      <c r="E47" s="130">
        <v>989</v>
      </c>
      <c r="F47" s="131">
        <v>1028</v>
      </c>
      <c r="G47" s="131">
        <v>1067</v>
      </c>
      <c r="H47" s="450">
        <v>1085</v>
      </c>
      <c r="I47" s="451">
        <v>1170</v>
      </c>
      <c r="J47" s="132">
        <v>1161</v>
      </c>
      <c r="K47" s="132">
        <v>1031</v>
      </c>
      <c r="L47" s="568"/>
      <c r="M47" s="568"/>
    </row>
    <row r="48" spans="1:20" ht="15" customHeight="1" x14ac:dyDescent="0.25">
      <c r="B48" s="636" t="str">
        <f>B45</f>
        <v>Volaille</v>
      </c>
      <c r="C48" s="825" t="s">
        <v>32</v>
      </c>
      <c r="D48" s="826" t="s">
        <v>67</v>
      </c>
      <c r="E48" s="446">
        <v>5.266184</v>
      </c>
      <c r="F48" s="447">
        <v>7.9501750000000007</v>
      </c>
      <c r="G48" s="447">
        <v>11.613446</v>
      </c>
      <c r="H48" s="448">
        <v>12.243912000000002</v>
      </c>
      <c r="I48" s="449">
        <v>17.181985000000001</v>
      </c>
      <c r="J48" s="309">
        <v>16.300151999999997</v>
      </c>
      <c r="K48" s="309">
        <v>10.819956999999999</v>
      </c>
      <c r="L48" s="568"/>
      <c r="M48" s="568"/>
    </row>
    <row r="49" spans="1:18" ht="15.75" thickBot="1" x14ac:dyDescent="0.3">
      <c r="B49" s="639" t="str">
        <f t="shared" si="0"/>
        <v>Volaille</v>
      </c>
      <c r="C49" s="827" t="s">
        <v>67</v>
      </c>
      <c r="D49" s="828" t="s">
        <v>32</v>
      </c>
      <c r="E49" s="130">
        <v>0.22958799999999999</v>
      </c>
      <c r="F49" s="131">
        <v>0.17247499999999999</v>
      </c>
      <c r="G49" s="131">
        <v>2.7227000000000001E-2</v>
      </c>
      <c r="H49" s="450">
        <v>0.142905</v>
      </c>
      <c r="I49" s="451">
        <v>3.6955000000000002E-2</v>
      </c>
      <c r="J49" s="132">
        <v>4.9757999999999997E-2</v>
      </c>
      <c r="K49" s="132">
        <v>0.15746099999999999</v>
      </c>
      <c r="L49" s="568"/>
      <c r="M49" s="568"/>
    </row>
    <row r="50" spans="1:18" x14ac:dyDescent="0.25">
      <c r="B50" s="715" t="str">
        <f t="shared" si="0"/>
        <v>Volaille</v>
      </c>
      <c r="C50" s="829" t="s">
        <v>32</v>
      </c>
      <c r="D50" s="830" t="s">
        <v>70</v>
      </c>
      <c r="E50" s="446">
        <v>2635.008116</v>
      </c>
      <c r="F50" s="447">
        <v>2884.920294</v>
      </c>
      <c r="G50" s="447">
        <v>2743.1888520000002</v>
      </c>
      <c r="H50" s="448">
        <v>2709.1053780000002</v>
      </c>
      <c r="I50" s="449">
        <v>2869.9522189999998</v>
      </c>
      <c r="J50" s="309">
        <v>3024.6037729999998</v>
      </c>
      <c r="K50" s="309">
        <v>2711.7528709999997</v>
      </c>
      <c r="L50" s="568"/>
      <c r="M50" s="568"/>
    </row>
    <row r="51" spans="1:18" ht="15.75" thickBot="1" x14ac:dyDescent="0.3">
      <c r="B51" s="714" t="str">
        <f t="shared" si="0"/>
        <v>Volaille</v>
      </c>
      <c r="C51" s="831" t="s">
        <v>70</v>
      </c>
      <c r="D51" s="832" t="s">
        <v>32</v>
      </c>
      <c r="E51" s="452">
        <v>565.13269800000012</v>
      </c>
      <c r="F51" s="453">
        <v>596.39064199999996</v>
      </c>
      <c r="G51" s="453">
        <v>567.03345300000001</v>
      </c>
      <c r="H51" s="454">
        <v>587.41716399999996</v>
      </c>
      <c r="I51" s="455">
        <v>758.66068199999995</v>
      </c>
      <c r="J51" s="310">
        <v>654.55469200000005</v>
      </c>
      <c r="K51" s="310">
        <v>501.57275600000003</v>
      </c>
      <c r="L51" s="568"/>
      <c r="M51" s="568"/>
    </row>
    <row r="52" spans="1:18" s="70" customFormat="1" ht="15.75" thickBot="1" x14ac:dyDescent="0.3">
      <c r="A52"/>
      <c r="B52" s="833" t="s">
        <v>181</v>
      </c>
      <c r="C52" s="834"/>
      <c r="D52" s="835"/>
      <c r="E52" s="836">
        <f>0.1%*E26/1000</f>
        <v>34.587113119999998</v>
      </c>
      <c r="F52" s="837">
        <f t="shared" ref="F52:I52" si="1">0.1%*F26/1000</f>
        <v>33.766031369000004</v>
      </c>
      <c r="G52" s="837">
        <f t="shared" si="1"/>
        <v>33.831477104000008</v>
      </c>
      <c r="H52" s="838">
        <f t="shared" si="1"/>
        <v>33.318723618000007</v>
      </c>
      <c r="I52" s="839">
        <f t="shared" si="1"/>
        <v>34.156974999999996</v>
      </c>
      <c r="J52" s="840">
        <f>I52</f>
        <v>34.156974999999996</v>
      </c>
      <c r="K52" s="840">
        <f>J52</f>
        <v>34.156974999999996</v>
      </c>
      <c r="L52" s="627"/>
      <c r="M52" s="627"/>
    </row>
    <row r="53" spans="1:18" x14ac:dyDescent="0.25">
      <c r="B53" s="816"/>
      <c r="C53" s="816"/>
      <c r="D53" s="816"/>
      <c r="E53" s="568"/>
      <c r="F53" s="568"/>
      <c r="G53" s="568"/>
      <c r="H53" s="568"/>
      <c r="I53" s="568"/>
      <c r="J53" s="568"/>
      <c r="K53" s="568"/>
      <c r="L53" s="568"/>
      <c r="M53" s="568"/>
    </row>
    <row r="54" spans="1:18" x14ac:dyDescent="0.25">
      <c r="B54" s="980" t="s">
        <v>207</v>
      </c>
      <c r="C54" s="980"/>
      <c r="D54" s="980"/>
      <c r="E54" s="980"/>
      <c r="F54" s="980"/>
      <c r="G54" s="980"/>
      <c r="H54" s="980"/>
      <c r="I54" s="980"/>
      <c r="J54" s="568"/>
      <c r="K54" s="568"/>
      <c r="L54" s="568"/>
      <c r="M54" s="568"/>
    </row>
    <row r="55" spans="1:18" x14ac:dyDescent="0.25">
      <c r="B55" s="980" t="s">
        <v>206</v>
      </c>
      <c r="C55" s="980"/>
      <c r="D55" s="980"/>
      <c r="E55" s="980"/>
      <c r="F55" s="980"/>
      <c r="G55" s="980"/>
      <c r="H55" s="980"/>
      <c r="I55" s="980"/>
      <c r="J55" s="568"/>
      <c r="K55" s="568"/>
      <c r="L55" s="568"/>
      <c r="M55" s="568"/>
    </row>
    <row r="56" spans="1:18" x14ac:dyDescent="0.25">
      <c r="B56" s="572" t="s">
        <v>165</v>
      </c>
      <c r="C56" s="816"/>
      <c r="D56" s="816"/>
      <c r="E56" s="568"/>
      <c r="F56" s="568"/>
      <c r="G56" s="568"/>
      <c r="H56" s="568"/>
      <c r="I56" s="568"/>
      <c r="J56" s="568"/>
      <c r="K56" s="568"/>
      <c r="L56" s="568"/>
      <c r="M56" s="568"/>
    </row>
    <row r="57" spans="1:18" x14ac:dyDescent="0.25">
      <c r="B57" s="568"/>
      <c r="C57" s="816"/>
      <c r="D57" s="816"/>
      <c r="E57" s="634"/>
      <c r="F57" s="634"/>
      <c r="G57" s="568"/>
      <c r="H57" s="634"/>
      <c r="I57" s="634"/>
      <c r="J57" s="634"/>
      <c r="K57" s="634"/>
      <c r="L57" s="568"/>
      <c r="M57" s="568"/>
    </row>
    <row r="58" spans="1:18" x14ac:dyDescent="0.25">
      <c r="B58" s="568"/>
      <c r="C58" s="816"/>
      <c r="D58" s="816"/>
      <c r="E58" s="568"/>
      <c r="F58" s="568"/>
      <c r="G58" s="568"/>
      <c r="H58" s="568"/>
      <c r="I58" s="568"/>
      <c r="J58" s="568"/>
      <c r="K58" s="568"/>
      <c r="L58" s="568"/>
      <c r="M58" s="568"/>
    </row>
    <row r="59" spans="1:18" x14ac:dyDescent="0.25">
      <c r="B59" s="568" t="s">
        <v>368</v>
      </c>
      <c r="C59" s="816"/>
      <c r="D59" s="816"/>
      <c r="E59" s="568"/>
      <c r="F59" s="568"/>
      <c r="G59" s="568"/>
      <c r="H59" s="568"/>
      <c r="I59" s="568"/>
      <c r="J59" s="568"/>
      <c r="K59" s="568"/>
      <c r="L59" s="568"/>
      <c r="M59" s="568"/>
    </row>
    <row r="60" spans="1:18" ht="15.75" thickBot="1" x14ac:dyDescent="0.3">
      <c r="B60" s="568"/>
      <c r="C60" s="816"/>
      <c r="D60" s="816"/>
      <c r="E60" s="568"/>
      <c r="F60" s="568"/>
      <c r="G60" s="568"/>
      <c r="H60" s="568"/>
      <c r="I60" s="568"/>
      <c r="J60" s="568"/>
      <c r="K60" s="568"/>
      <c r="L60" s="568"/>
      <c r="M60" s="568"/>
    </row>
    <row r="61" spans="1:18" ht="15.75" thickBot="1" x14ac:dyDescent="0.3">
      <c r="B61" s="819" t="s">
        <v>130</v>
      </c>
      <c r="C61" s="820" t="s">
        <v>68</v>
      </c>
      <c r="D61" s="821" t="s">
        <v>69</v>
      </c>
      <c r="E61" s="822">
        <v>2014</v>
      </c>
      <c r="F61" s="820">
        <v>2015</v>
      </c>
      <c r="G61" s="820">
        <v>2016</v>
      </c>
      <c r="H61" s="823">
        <v>2017</v>
      </c>
      <c r="I61" s="824">
        <v>2018</v>
      </c>
      <c r="J61" s="821">
        <v>2019</v>
      </c>
      <c r="K61" s="568"/>
      <c r="L61" s="822">
        <v>2014</v>
      </c>
      <c r="M61" s="820">
        <v>2015</v>
      </c>
      <c r="N61" s="73">
        <v>2016</v>
      </c>
      <c r="O61" s="220">
        <v>2017</v>
      </c>
      <c r="P61" s="307">
        <v>2018</v>
      </c>
      <c r="Q61" s="78">
        <v>2019</v>
      </c>
    </row>
    <row r="62" spans="1:18" x14ac:dyDescent="0.25">
      <c r="B62" s="636" t="s">
        <v>99</v>
      </c>
      <c r="C62" s="825" t="s">
        <v>0</v>
      </c>
      <c r="D62" s="826" t="s">
        <v>295</v>
      </c>
      <c r="E62" s="456">
        <v>2.7035549999999997</v>
      </c>
      <c r="F62" s="457">
        <v>2.0939190000000001</v>
      </c>
      <c r="G62" s="457">
        <v>1.4939039999999999</v>
      </c>
      <c r="H62" s="458">
        <v>1.0256609999999999</v>
      </c>
      <c r="I62" s="459">
        <v>1.4814369999999999</v>
      </c>
      <c r="J62" s="308">
        <v>0.73702899999999993</v>
      </c>
      <c r="K62" s="568"/>
      <c r="L62" s="841">
        <f>IFERROR((E42-E62)/E62,)</f>
        <v>-0.26023328543343849</v>
      </c>
      <c r="M62" s="841">
        <f t="shared" ref="M62:Q62" si="2">IFERROR((F42-F62)/F62,)</f>
        <v>-0.52242660771500715</v>
      </c>
      <c r="N62" s="483">
        <f t="shared" si="2"/>
        <v>-0.33061294433912752</v>
      </c>
      <c r="O62" s="483">
        <f t="shared" si="2"/>
        <v>-2.5018987755213405E-2</v>
      </c>
      <c r="P62" s="483">
        <f t="shared" si="2"/>
        <v>-0.32497973251646878</v>
      </c>
      <c r="Q62" s="483">
        <f t="shared" si="2"/>
        <v>0.35679871484025744</v>
      </c>
      <c r="R62" s="365"/>
    </row>
    <row r="63" spans="1:18" ht="15.75" thickBot="1" x14ac:dyDescent="0.3">
      <c r="B63" s="639" t="str">
        <f t="shared" ref="B63:B71" si="3">B62</f>
        <v>Volaille</v>
      </c>
      <c r="C63" s="827" t="s">
        <v>67</v>
      </c>
      <c r="D63" s="828" t="s">
        <v>72</v>
      </c>
      <c r="E63" s="130">
        <v>0</v>
      </c>
      <c r="F63" s="131">
        <v>9.0452000000000005E-2</v>
      </c>
      <c r="G63" s="131">
        <v>0</v>
      </c>
      <c r="H63" s="450">
        <v>0</v>
      </c>
      <c r="I63" s="451">
        <v>0</v>
      </c>
      <c r="J63" s="132">
        <v>0</v>
      </c>
      <c r="K63" s="568"/>
      <c r="L63" s="841">
        <f t="shared" ref="L63:L71" si="4">IFERROR((E43-E63)/E63,)</f>
        <v>0</v>
      </c>
      <c r="M63" s="841">
        <f t="shared" ref="M63:M71" si="5">IFERROR((F43-F63)/F63,)</f>
        <v>-1</v>
      </c>
      <c r="N63" s="483">
        <f t="shared" ref="N63:N71" si="6">IFERROR((G43-G63)/G63,)</f>
        <v>0</v>
      </c>
      <c r="O63" s="483">
        <f t="shared" ref="O63:O71" si="7">IFERROR((H43-H63)/H63,)</f>
        <v>0</v>
      </c>
      <c r="P63" s="483">
        <f t="shared" ref="P63:P71" si="8">IFERROR((I43-I63)/I63,)</f>
        <v>0</v>
      </c>
      <c r="Q63" s="483">
        <f t="shared" ref="Q63:Q71" si="9">IFERROR((J43-J63)/J63,)</f>
        <v>0</v>
      </c>
    </row>
    <row r="64" spans="1:18" x14ac:dyDescent="0.25">
      <c r="B64" s="20" t="str">
        <f t="shared" si="3"/>
        <v>Volaille</v>
      </c>
      <c r="C64" s="214" t="s">
        <v>0</v>
      </c>
      <c r="D64" s="62" t="s">
        <v>296</v>
      </c>
      <c r="E64" s="446">
        <v>464.187454</v>
      </c>
      <c r="F64" s="447">
        <v>520.70350599999995</v>
      </c>
      <c r="G64" s="447">
        <v>358.03326100000004</v>
      </c>
      <c r="H64" s="448">
        <v>336.49568199999999</v>
      </c>
      <c r="I64" s="449">
        <v>305.54460899999998</v>
      </c>
      <c r="J64" s="309">
        <v>273.344019</v>
      </c>
      <c r="L64" s="483">
        <f t="shared" si="4"/>
        <v>1.75046954198809E-3</v>
      </c>
      <c r="M64" s="483">
        <f t="shared" si="5"/>
        <v>5.6941041606901042E-4</v>
      </c>
      <c r="N64" s="483">
        <f t="shared" si="6"/>
        <v>-9.2899190167805717E-5</v>
      </c>
      <c r="O64" s="483">
        <f t="shared" si="7"/>
        <v>1.4987354280522746E-3</v>
      </c>
      <c r="P64" s="483">
        <f t="shared" si="8"/>
        <v>1.4904239400277558E-3</v>
      </c>
      <c r="Q64" s="483">
        <f t="shared" si="9"/>
        <v>-1.2585568956604936E-3</v>
      </c>
    </row>
    <row r="65" spans="2:17" ht="15.75" thickBot="1" x14ac:dyDescent="0.3">
      <c r="B65" s="24" t="str">
        <f t="shared" si="3"/>
        <v>Volaille</v>
      </c>
      <c r="C65" s="215" t="s">
        <v>271</v>
      </c>
      <c r="D65" s="63" t="s">
        <v>297</v>
      </c>
      <c r="E65" s="130">
        <v>58.766805999999995</v>
      </c>
      <c r="F65" s="131">
        <v>57.676658000000003</v>
      </c>
      <c r="G65" s="131">
        <v>53.239449999999998</v>
      </c>
      <c r="H65" s="450">
        <v>52.022591000000006</v>
      </c>
      <c r="I65" s="451">
        <v>52.523170999999991</v>
      </c>
      <c r="J65" s="132">
        <v>55.473716999999994</v>
      </c>
      <c r="L65" s="483">
        <f t="shared" si="4"/>
        <v>3.9681244544752794E-3</v>
      </c>
      <c r="M65" s="483">
        <f t="shared" si="5"/>
        <v>5.6061153890018499E-3</v>
      </c>
      <c r="N65" s="483">
        <f t="shared" si="6"/>
        <v>-4.4976046897553966E-3</v>
      </c>
      <c r="O65" s="483">
        <f t="shared" si="7"/>
        <v>-4.3425364953478723E-4</v>
      </c>
      <c r="P65" s="483">
        <f t="shared" si="8"/>
        <v>9.0784503471812352E-3</v>
      </c>
      <c r="Q65" s="483">
        <f t="shared" si="9"/>
        <v>-8.5394854648011692E-3</v>
      </c>
    </row>
    <row r="66" spans="2:17" x14ac:dyDescent="0.25">
      <c r="B66" s="20" t="s">
        <v>99</v>
      </c>
      <c r="C66" s="214" t="s">
        <v>0</v>
      </c>
      <c r="D66" s="62" t="s">
        <v>294</v>
      </c>
      <c r="E66" s="446">
        <v>986.08980599999995</v>
      </c>
      <c r="F66" s="447">
        <v>1029.7494979999999</v>
      </c>
      <c r="G66" s="447">
        <v>857.53995399999997</v>
      </c>
      <c r="H66" s="448">
        <v>846.71143800000004</v>
      </c>
      <c r="I66" s="449">
        <v>853.68220799999995</v>
      </c>
      <c r="J66" s="309">
        <v>799.75243</v>
      </c>
      <c r="L66" s="483">
        <f t="shared" si="4"/>
        <v>9.2303357611228242E-4</v>
      </c>
      <c r="M66" s="483">
        <f t="shared" si="5"/>
        <v>2.4326498870514315E-4</v>
      </c>
      <c r="N66" s="483">
        <f t="shared" si="6"/>
        <v>5.3647179685814843E-4</v>
      </c>
      <c r="O66" s="483">
        <f t="shared" si="7"/>
        <v>3.4080323832823457E-4</v>
      </c>
      <c r="P66" s="483">
        <f t="shared" si="8"/>
        <v>3.7226030602719796E-4</v>
      </c>
      <c r="Q66" s="483">
        <f t="shared" si="9"/>
        <v>3.0955829668438277E-4</v>
      </c>
    </row>
    <row r="67" spans="2:17" ht="15.75" thickBot="1" x14ac:dyDescent="0.3">
      <c r="B67" s="24" t="s">
        <v>99</v>
      </c>
      <c r="C67" s="215" t="s">
        <v>70</v>
      </c>
      <c r="D67" s="63" t="s">
        <v>72</v>
      </c>
      <c r="E67" s="130">
        <v>989.26979899999992</v>
      </c>
      <c r="F67" s="131">
        <v>1027.7208409999998</v>
      </c>
      <c r="G67" s="131">
        <v>1067.269591</v>
      </c>
      <c r="H67" s="450">
        <v>1083.27055</v>
      </c>
      <c r="I67" s="451">
        <v>1165.9774259999999</v>
      </c>
      <c r="J67" s="132">
        <v>1152.360887</v>
      </c>
      <c r="L67" s="483">
        <f t="shared" si="4"/>
        <v>-2.7272539834193488E-4</v>
      </c>
      <c r="M67" s="483">
        <f t="shared" si="5"/>
        <v>2.7162920986260647E-4</v>
      </c>
      <c r="N67" s="483">
        <f t="shared" si="6"/>
        <v>-2.5259878316910767E-4</v>
      </c>
      <c r="O67" s="483">
        <f t="shared" si="7"/>
        <v>1.5965079083891302E-3</v>
      </c>
      <c r="P67" s="483">
        <f t="shared" si="8"/>
        <v>3.4499587301616225E-3</v>
      </c>
      <c r="Q67" s="483">
        <f t="shared" si="9"/>
        <v>7.4968814869190818E-3</v>
      </c>
    </row>
    <row r="68" spans="2:17" x14ac:dyDescent="0.25">
      <c r="B68" s="20" t="str">
        <f>B65</f>
        <v>Volaille</v>
      </c>
      <c r="C68" s="214" t="s">
        <v>32</v>
      </c>
      <c r="D68" s="62" t="s">
        <v>67</v>
      </c>
      <c r="E68" s="446">
        <v>7.8285410000000004</v>
      </c>
      <c r="F68" s="447">
        <v>9.7609929999999991</v>
      </c>
      <c r="G68" s="447">
        <v>16.015383</v>
      </c>
      <c r="H68" s="448">
        <v>16.651256</v>
      </c>
      <c r="I68" s="449">
        <v>23.509653999999998</v>
      </c>
      <c r="J68" s="309">
        <v>32.667977</v>
      </c>
      <c r="L68" s="483">
        <f t="shared" si="4"/>
        <v>-0.32730964811961771</v>
      </c>
      <c r="M68" s="483">
        <f t="shared" si="5"/>
        <v>-0.18551575643994403</v>
      </c>
      <c r="N68" s="483">
        <f t="shared" si="6"/>
        <v>-0.27485680486067676</v>
      </c>
      <c r="O68" s="483">
        <f t="shared" si="7"/>
        <v>-0.26468537868855047</v>
      </c>
      <c r="P68" s="483">
        <f t="shared" si="8"/>
        <v>-0.26915194073039089</v>
      </c>
      <c r="Q68" s="483">
        <f t="shared" si="9"/>
        <v>-0.5010357696774429</v>
      </c>
    </row>
    <row r="69" spans="2:17" ht="15.75" thickBot="1" x14ac:dyDescent="0.3">
      <c r="B69" s="24" t="str">
        <f t="shared" si="3"/>
        <v>Volaille</v>
      </c>
      <c r="C69" s="215" t="s">
        <v>67</v>
      </c>
      <c r="D69" s="63" t="s">
        <v>32</v>
      </c>
      <c r="E69" s="130">
        <v>0.22958799999999999</v>
      </c>
      <c r="F69" s="131">
        <v>0.17247499999999999</v>
      </c>
      <c r="G69" s="131">
        <v>3.6686999999999997E-2</v>
      </c>
      <c r="H69" s="450">
        <v>0.142905</v>
      </c>
      <c r="I69" s="451">
        <v>7.3429999999999995E-2</v>
      </c>
      <c r="J69" s="132">
        <v>4.9757999999999997E-2</v>
      </c>
      <c r="L69" s="483">
        <f t="shared" si="4"/>
        <v>0</v>
      </c>
      <c r="M69" s="483">
        <f t="shared" si="5"/>
        <v>0</v>
      </c>
      <c r="N69" s="483">
        <f t="shared" si="6"/>
        <v>-0.25785700656908433</v>
      </c>
      <c r="O69" s="483">
        <f t="shared" si="7"/>
        <v>0</v>
      </c>
      <c r="P69" s="483">
        <f t="shared" si="8"/>
        <v>-0.49673158109764398</v>
      </c>
      <c r="Q69" s="483">
        <f t="shared" si="9"/>
        <v>0</v>
      </c>
    </row>
    <row r="70" spans="2:17" x14ac:dyDescent="0.25">
      <c r="B70" s="25" t="str">
        <f t="shared" si="3"/>
        <v>Volaille</v>
      </c>
      <c r="C70" s="216" t="s">
        <v>32</v>
      </c>
      <c r="D70" s="60" t="s">
        <v>70</v>
      </c>
      <c r="E70" s="446">
        <v>1727.7091499999999</v>
      </c>
      <c r="F70" s="447">
        <v>1764.4931550000001</v>
      </c>
      <c r="G70" s="447">
        <v>1634.4629540000001</v>
      </c>
      <c r="H70" s="448">
        <v>1672.6260440000001</v>
      </c>
      <c r="I70" s="449">
        <v>1745.7294650000001</v>
      </c>
      <c r="J70" s="309">
        <v>1912.1782349999999</v>
      </c>
      <c r="L70" s="483">
        <f t="shared" si="4"/>
        <v>0.52514566239346483</v>
      </c>
      <c r="M70" s="483">
        <f t="shared" si="5"/>
        <v>0.63498525671526329</v>
      </c>
      <c r="N70" s="483">
        <f t="shared" si="6"/>
        <v>0.67834262947754764</v>
      </c>
      <c r="O70" s="483">
        <f t="shared" si="7"/>
        <v>0.61967188524777028</v>
      </c>
      <c r="P70" s="483">
        <f t="shared" si="8"/>
        <v>0.64398452139318141</v>
      </c>
      <c r="Q70" s="483">
        <f t="shared" si="9"/>
        <v>0.58175828886578662</v>
      </c>
    </row>
    <row r="71" spans="2:17" x14ac:dyDescent="0.25">
      <c r="B71" s="23" t="str">
        <f t="shared" si="3"/>
        <v>Volaille</v>
      </c>
      <c r="C71" s="217" t="s">
        <v>70</v>
      </c>
      <c r="D71" s="61" t="s">
        <v>32</v>
      </c>
      <c r="E71" s="452">
        <v>2184.5218340000001</v>
      </c>
      <c r="F71" s="453">
        <v>2335.6701599999997</v>
      </c>
      <c r="G71" s="453">
        <v>2155.6193119999998</v>
      </c>
      <c r="H71" s="454">
        <v>2014.996423</v>
      </c>
      <c r="I71" s="455">
        <v>2077.5232609999998</v>
      </c>
      <c r="J71" s="310">
        <v>2042.0803309999999</v>
      </c>
      <c r="L71" s="483">
        <f t="shared" si="4"/>
        <v>-0.74130141928350257</v>
      </c>
      <c r="M71" s="483">
        <f t="shared" si="5"/>
        <v>-0.74465973311916611</v>
      </c>
      <c r="N71" s="483">
        <f t="shared" si="6"/>
        <v>-0.73695102384571698</v>
      </c>
      <c r="O71" s="483">
        <f t="shared" si="7"/>
        <v>-0.70847731673615977</v>
      </c>
      <c r="P71" s="483">
        <f t="shared" si="8"/>
        <v>-0.63482445841072099</v>
      </c>
      <c r="Q71" s="483">
        <f t="shared" si="9"/>
        <v>-0.67946672710986511</v>
      </c>
    </row>
  </sheetData>
  <mergeCells count="20">
    <mergeCell ref="B55:I55"/>
    <mergeCell ref="B17:J17"/>
    <mergeCell ref="B18:J18"/>
    <mergeCell ref="B19:J19"/>
    <mergeCell ref="B20:J20"/>
    <mergeCell ref="E23:J23"/>
    <mergeCell ref="B33:J33"/>
    <mergeCell ref="B34:J34"/>
    <mergeCell ref="B35:J35"/>
    <mergeCell ref="B36:I36"/>
    <mergeCell ref="B37:J37"/>
    <mergeCell ref="B54:I54"/>
    <mergeCell ref="B39:J39"/>
    <mergeCell ref="B38:J38"/>
    <mergeCell ref="B1:T1"/>
    <mergeCell ref="B15:J15"/>
    <mergeCell ref="B16:J16"/>
    <mergeCell ref="E3:J3"/>
    <mergeCell ref="B9:B10"/>
    <mergeCell ref="B14:J14"/>
  </mergeCells>
  <pageMargins left="0.7" right="0.7" top="0.75" bottom="0.75" header="0.51180555555555496" footer="0.51180555555555496"/>
  <pageSetup paperSize="8" scale="71" firstPageNumber="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46"/>
  <sheetViews>
    <sheetView view="pageBreakPreview" topLeftCell="A65" zoomScale="70" zoomScaleNormal="55" zoomScaleSheetLayoutView="70" zoomScalePageLayoutView="60" workbookViewId="0">
      <pane xSplit="4" topLeftCell="E1" activePane="topRight" state="frozen"/>
      <selection activeCell="A63" sqref="A63"/>
      <selection pane="topRight" activeCell="C129" sqref="C129"/>
    </sheetView>
  </sheetViews>
  <sheetFormatPr baseColWidth="10" defaultColWidth="9.140625" defaultRowHeight="15" x14ac:dyDescent="0.25"/>
  <cols>
    <col min="1" max="1" width="10.140625" style="31" bestFit="1" customWidth="1"/>
    <col min="2" max="2" width="31.140625" style="31" customWidth="1"/>
    <col min="3" max="3" width="12.42578125" style="54" customWidth="1"/>
    <col min="4" max="4" width="12.42578125" style="31" customWidth="1"/>
    <col min="5" max="5" width="9.85546875" style="31" bestFit="1" customWidth="1"/>
    <col min="6" max="7" width="10.85546875" style="31" bestFit="1" customWidth="1"/>
    <col min="8" max="10" width="13.28515625" style="31" bestFit="1" customWidth="1"/>
    <col min="11" max="11" width="13.28515625" style="31" customWidth="1"/>
    <col min="12" max="12" width="9.140625" style="31"/>
    <col min="13" max="13" width="11" style="31" customWidth="1"/>
    <col min="14" max="14" width="9.140625" style="31"/>
    <col min="15" max="15" width="12.85546875" style="31" bestFit="1" customWidth="1"/>
    <col min="16" max="16" width="16" style="31" customWidth="1"/>
    <col min="17" max="19" width="9.140625" style="31"/>
    <col min="20" max="20" width="11.7109375" style="31" bestFit="1" customWidth="1"/>
    <col min="21" max="28" width="9.140625" style="31"/>
    <col min="29" max="32" width="9.140625" style="367"/>
    <col min="33" max="33" width="13.28515625" style="31" customWidth="1"/>
    <col min="34" max="34" width="7.5703125" style="31" customWidth="1"/>
    <col min="35" max="35" width="9.140625" style="31" customWidth="1"/>
    <col min="36" max="38" width="9.140625" style="31"/>
    <col min="39" max="39" width="9.140625" style="367"/>
    <col min="40" max="16384" width="9.140625" style="31"/>
  </cols>
  <sheetData>
    <row r="1" spans="2:40" ht="18.75" customHeight="1" x14ac:dyDescent="0.35">
      <c r="B1" s="1054" t="s">
        <v>211</v>
      </c>
      <c r="C1" s="1054"/>
      <c r="D1" s="1054"/>
      <c r="E1" s="1054"/>
      <c r="F1" s="1054"/>
      <c r="G1" s="1054"/>
      <c r="H1" s="1054"/>
      <c r="I1" s="1054"/>
      <c r="J1" s="1054"/>
      <c r="K1" s="1054"/>
      <c r="L1" s="1054"/>
      <c r="M1" s="1054"/>
      <c r="N1" s="1054"/>
      <c r="O1" s="1054"/>
      <c r="P1" s="1054"/>
      <c r="Q1" s="1054"/>
      <c r="R1" s="1054"/>
      <c r="S1" s="1054"/>
      <c r="T1" s="1054"/>
      <c r="U1" s="1054"/>
      <c r="V1" s="1054"/>
      <c r="W1" s="1054"/>
      <c r="X1" s="1054"/>
      <c r="Y1" s="1054"/>
      <c r="Z1" s="1054"/>
      <c r="AA1" s="1054"/>
      <c r="AB1" s="1054"/>
      <c r="AC1" s="1054"/>
      <c r="AD1" s="1054"/>
      <c r="AE1" s="1054"/>
      <c r="AF1" s="1054"/>
      <c r="AG1" s="1054"/>
      <c r="AH1" s="1054"/>
      <c r="AI1" s="1054"/>
      <c r="AJ1" s="1054"/>
      <c r="AK1" s="1054"/>
      <c r="AL1" s="1054"/>
      <c r="AM1" s="398"/>
      <c r="AN1" s="306"/>
    </row>
    <row r="2" spans="2:40" x14ac:dyDescent="0.25">
      <c r="B2" s="842"/>
      <c r="C2" s="843"/>
      <c r="D2" s="842"/>
      <c r="E2" s="842"/>
      <c r="F2" s="842"/>
      <c r="G2" s="842"/>
      <c r="H2" s="842"/>
      <c r="I2" s="842"/>
      <c r="J2" s="842"/>
      <c r="K2" s="842"/>
      <c r="L2" s="842"/>
      <c r="M2" s="842"/>
      <c r="N2" s="842"/>
      <c r="O2" s="842"/>
      <c r="P2" s="842"/>
      <c r="Q2" s="842"/>
      <c r="R2" s="842"/>
      <c r="S2" s="842"/>
      <c r="T2" s="842"/>
      <c r="U2" s="842"/>
    </row>
    <row r="3" spans="2:40" x14ac:dyDescent="0.25">
      <c r="B3" s="844" t="s">
        <v>0</v>
      </c>
      <c r="C3" s="845"/>
      <c r="D3" s="1036" t="s">
        <v>20</v>
      </c>
      <c r="E3" s="1036"/>
      <c r="F3" s="1036"/>
      <c r="G3" s="1036"/>
      <c r="H3" s="1036"/>
      <c r="I3" s="1036"/>
      <c r="J3" s="842"/>
      <c r="K3" s="842"/>
      <c r="L3" s="842"/>
      <c r="M3" s="842"/>
      <c r="N3" s="842"/>
      <c r="O3" s="842"/>
      <c r="P3" s="842"/>
      <c r="Q3" s="842"/>
      <c r="R3" s="842"/>
      <c r="S3" s="842"/>
      <c r="T3" s="842"/>
      <c r="U3" s="842"/>
    </row>
    <row r="4" spans="2:40" x14ac:dyDescent="0.25">
      <c r="B4" s="846" t="s">
        <v>2</v>
      </c>
      <c r="C4" s="372" t="s">
        <v>3</v>
      </c>
      <c r="D4" s="372" t="s">
        <v>54</v>
      </c>
      <c r="E4" s="372" t="s">
        <v>53</v>
      </c>
      <c r="F4" s="372" t="s">
        <v>52</v>
      </c>
      <c r="G4" s="372" t="s">
        <v>51</v>
      </c>
      <c r="H4" s="372" t="s">
        <v>50</v>
      </c>
      <c r="I4" s="372" t="s">
        <v>49</v>
      </c>
      <c r="J4" s="847" t="s">
        <v>345</v>
      </c>
      <c r="K4" s="848"/>
      <c r="L4" s="842"/>
      <c r="M4" s="795" t="s">
        <v>363</v>
      </c>
      <c r="N4" s="572"/>
      <c r="O4" s="572"/>
      <c r="P4" s="572"/>
      <c r="Q4" s="572"/>
      <c r="R4" s="842"/>
      <c r="S4" s="795"/>
      <c r="T4" s="572"/>
      <c r="U4" s="572"/>
    </row>
    <row r="5" spans="2:40" x14ac:dyDescent="0.25">
      <c r="B5" s="849" t="s">
        <v>4</v>
      </c>
      <c r="C5" s="850" t="s">
        <v>48</v>
      </c>
      <c r="D5" s="851">
        <v>4574</v>
      </c>
      <c r="E5" s="851">
        <v>5072</v>
      </c>
      <c r="F5" s="851">
        <v>4566</v>
      </c>
      <c r="G5" s="851">
        <v>4680</v>
      </c>
      <c r="H5" s="851">
        <v>6480</v>
      </c>
      <c r="I5" s="851">
        <v>5286</v>
      </c>
      <c r="J5" s="852">
        <v>5187</v>
      </c>
      <c r="K5" s="853"/>
      <c r="L5" s="842"/>
      <c r="M5" s="572"/>
      <c r="N5" s="572"/>
      <c r="O5" s="572"/>
      <c r="P5" s="572"/>
      <c r="Q5" s="572"/>
      <c r="R5" s="842"/>
      <c r="S5" s="572"/>
      <c r="T5" s="572"/>
      <c r="U5" s="572"/>
    </row>
    <row r="6" spans="2:40" x14ac:dyDescent="0.25">
      <c r="B6" s="849" t="s">
        <v>6</v>
      </c>
      <c r="C6" s="584">
        <v>1000</v>
      </c>
      <c r="D6" s="851">
        <v>2394489</v>
      </c>
      <c r="E6" s="851">
        <v>1950691.2</v>
      </c>
      <c r="F6" s="851">
        <v>1799460.6</v>
      </c>
      <c r="G6" s="851">
        <v>2151396</v>
      </c>
      <c r="H6" s="851">
        <v>2393712</v>
      </c>
      <c r="I6" s="851">
        <v>1625445</v>
      </c>
      <c r="J6" s="854">
        <v>1828832.46</v>
      </c>
      <c r="K6" s="853"/>
      <c r="L6" s="842"/>
      <c r="M6" s="855"/>
      <c r="N6" s="855"/>
      <c r="O6" s="855" t="s">
        <v>254</v>
      </c>
      <c r="P6" s="855" t="s">
        <v>255</v>
      </c>
      <c r="Q6" s="855"/>
      <c r="R6" s="855"/>
      <c r="S6" s="842"/>
      <c r="T6" s="855"/>
      <c r="U6" s="855"/>
      <c r="V6" s="226"/>
    </row>
    <row r="7" spans="2:40" x14ac:dyDescent="0.25">
      <c r="B7" s="849" t="s">
        <v>8</v>
      </c>
      <c r="C7" s="850" t="s">
        <v>48</v>
      </c>
      <c r="D7" s="851">
        <v>3089</v>
      </c>
      <c r="E7" s="851">
        <v>3168</v>
      </c>
      <c r="F7" s="851">
        <v>2722</v>
      </c>
      <c r="G7" s="851">
        <v>2496</v>
      </c>
      <c r="H7" s="851">
        <v>3232</v>
      </c>
      <c r="I7" s="851">
        <v>2832</v>
      </c>
      <c r="J7" s="854">
        <v>2830</v>
      </c>
      <c r="K7" s="853"/>
      <c r="L7" s="842"/>
      <c r="M7" s="747" t="s">
        <v>232</v>
      </c>
      <c r="N7" s="747"/>
      <c r="O7" s="583">
        <f>AN66</f>
        <v>15.677987</v>
      </c>
      <c r="P7" s="583">
        <f>AN67</f>
        <v>16.316583000000001</v>
      </c>
      <c r="Q7" s="583"/>
      <c r="R7" s="855"/>
      <c r="S7" s="842"/>
      <c r="T7" s="855"/>
      <c r="U7" s="855"/>
      <c r="V7" s="226"/>
    </row>
    <row r="8" spans="2:40" x14ac:dyDescent="0.25">
      <c r="B8" s="849" t="s">
        <v>10</v>
      </c>
      <c r="C8" s="584">
        <v>1000</v>
      </c>
      <c r="D8" s="856" t="s">
        <v>23</v>
      </c>
      <c r="E8" s="856" t="s">
        <v>23</v>
      </c>
      <c r="F8" s="856" t="s">
        <v>23</v>
      </c>
      <c r="G8" s="856" t="s">
        <v>23</v>
      </c>
      <c r="H8" s="851">
        <v>1193900.8</v>
      </c>
      <c r="I8" s="851">
        <v>870840</v>
      </c>
      <c r="J8" s="852">
        <v>997801.39999999991</v>
      </c>
      <c r="K8" s="853"/>
      <c r="L8" s="842"/>
      <c r="M8" s="747" t="s">
        <v>253</v>
      </c>
      <c r="N8" s="747"/>
      <c r="O8" s="583">
        <f>AN64</f>
        <v>0.95479199999999986</v>
      </c>
      <c r="P8" s="583">
        <f>AN65</f>
        <v>47.434763999999994</v>
      </c>
      <c r="Q8" s="583"/>
      <c r="R8" s="855"/>
      <c r="S8" s="842"/>
      <c r="T8" s="855"/>
      <c r="U8" s="855"/>
      <c r="V8" s="226"/>
    </row>
    <row r="9" spans="2:40" x14ac:dyDescent="0.25">
      <c r="B9" s="849" t="s">
        <v>47</v>
      </c>
      <c r="C9" s="850" t="s">
        <v>46</v>
      </c>
      <c r="D9" s="856" t="s">
        <v>23</v>
      </c>
      <c r="E9" s="856" t="s">
        <v>23</v>
      </c>
      <c r="F9" s="856" t="s">
        <v>23</v>
      </c>
      <c r="G9" s="856" t="s">
        <v>23</v>
      </c>
      <c r="H9" s="856">
        <v>369.4</v>
      </c>
      <c r="I9" s="856">
        <v>307.5</v>
      </c>
      <c r="J9" s="857">
        <v>352.58</v>
      </c>
      <c r="K9" s="853"/>
      <c r="L9" s="842"/>
      <c r="M9" s="855"/>
      <c r="N9" s="855"/>
      <c r="O9" s="855"/>
      <c r="P9" s="855"/>
      <c r="Q9" s="855"/>
      <c r="R9" s="855"/>
      <c r="S9" s="842"/>
      <c r="T9" s="855"/>
      <c r="U9" s="855"/>
      <c r="V9" s="226"/>
    </row>
    <row r="10" spans="2:40" x14ac:dyDescent="0.25">
      <c r="B10" s="849" t="s">
        <v>45</v>
      </c>
      <c r="C10" s="850" t="s">
        <v>13</v>
      </c>
      <c r="D10" s="856">
        <v>1.25545454545455</v>
      </c>
      <c r="E10" s="856">
        <v>1.1575</v>
      </c>
      <c r="F10" s="856">
        <v>1.0491666666666699</v>
      </c>
      <c r="G10" s="856">
        <v>1.00583333333333</v>
      </c>
      <c r="H10" s="856">
        <v>0.99250000000000005</v>
      </c>
      <c r="I10" s="856">
        <v>0.98</v>
      </c>
      <c r="J10" s="857">
        <v>0.99</v>
      </c>
      <c r="K10" s="853"/>
      <c r="L10" s="842"/>
      <c r="M10" s="747" t="s">
        <v>231</v>
      </c>
      <c r="N10" s="747"/>
      <c r="O10" s="583">
        <f>AN78</f>
        <v>70.902186999999998</v>
      </c>
      <c r="P10" s="583">
        <f>AN79</f>
        <v>61.077524999999994</v>
      </c>
      <c r="Q10" s="583"/>
      <c r="R10" s="855"/>
      <c r="S10" s="842"/>
      <c r="T10" s="855"/>
      <c r="U10" s="855"/>
      <c r="V10" s="226"/>
    </row>
    <row r="11" spans="2:40" x14ac:dyDescent="0.25">
      <c r="B11" s="858"/>
      <c r="C11" s="858"/>
      <c r="D11" s="858"/>
      <c r="E11" s="858"/>
      <c r="F11" s="858"/>
      <c r="G11" s="858"/>
      <c r="H11" s="858"/>
      <c r="I11" s="858"/>
      <c r="J11" s="853"/>
      <c r="K11" s="853"/>
      <c r="L11" s="842"/>
      <c r="M11" s="842" t="s">
        <v>346</v>
      </c>
      <c r="N11" s="842"/>
      <c r="O11" s="600">
        <f>LINEST(E53:AF53,E49:AF49)/AVERAGE(E53:AF53)</f>
        <v>9.882202334204622E-2</v>
      </c>
      <c r="P11" s="600">
        <f>LINEST(E54:AF54,E49:AF49)/AVERAGE(E54:AF54)</f>
        <v>0.11347463061825561</v>
      </c>
      <c r="Q11" s="600"/>
      <c r="R11" s="855"/>
      <c r="S11" s="842"/>
      <c r="T11" s="855"/>
      <c r="U11" s="855"/>
      <c r="V11" s="226"/>
    </row>
    <row r="12" spans="2:40" s="10" customFormat="1" x14ac:dyDescent="0.25">
      <c r="B12" s="943" t="s">
        <v>55</v>
      </c>
      <c r="C12" s="943"/>
      <c r="D12" s="943"/>
      <c r="E12" s="943"/>
      <c r="F12" s="943"/>
      <c r="G12" s="943"/>
      <c r="H12" s="943"/>
      <c r="I12" s="943"/>
      <c r="J12" s="859"/>
      <c r="K12" s="859"/>
      <c r="L12" s="859"/>
      <c r="M12" s="747" t="s">
        <v>251</v>
      </c>
      <c r="N12" s="747"/>
      <c r="O12" s="583">
        <f>AN76</f>
        <v>4.8369520000000001</v>
      </c>
      <c r="P12" s="583">
        <f>AN77</f>
        <v>339.93576400000001</v>
      </c>
      <c r="Q12" s="583"/>
      <c r="R12" s="860"/>
      <c r="S12" s="859"/>
      <c r="T12" s="860"/>
      <c r="U12" s="860"/>
      <c r="V12" s="227"/>
      <c r="AC12" s="366"/>
      <c r="AD12" s="366"/>
      <c r="AE12" s="366"/>
      <c r="AF12" s="366"/>
      <c r="AM12" s="366"/>
    </row>
    <row r="13" spans="2:40" x14ac:dyDescent="0.25">
      <c r="B13" s="943" t="s">
        <v>396</v>
      </c>
      <c r="C13" s="943"/>
      <c r="D13" s="943"/>
      <c r="E13" s="943"/>
      <c r="F13" s="943"/>
      <c r="G13" s="943"/>
      <c r="H13" s="943"/>
      <c r="I13" s="943"/>
      <c r="J13" s="842"/>
      <c r="K13" s="842"/>
      <c r="L13" s="842"/>
      <c r="M13" s="842" t="s">
        <v>346</v>
      </c>
      <c r="N13" s="842"/>
      <c r="O13" s="600">
        <f>LINEST(E51:AF51,E49:AF49)/AVERAGE(E52:AF52)</f>
        <v>1.4478673042848888E-3</v>
      </c>
      <c r="P13" s="600">
        <f>LINEST(E52:AF52,E49:AF49)/AVERAGE(E52:AF52)</f>
        <v>6.7321364616645729E-2</v>
      </c>
      <c r="Q13" s="600"/>
      <c r="R13" s="855"/>
      <c r="S13" s="842"/>
      <c r="T13" s="855"/>
      <c r="U13" s="855"/>
      <c r="V13" s="226"/>
    </row>
    <row r="14" spans="2:40" x14ac:dyDescent="0.25">
      <c r="B14" s="943" t="s">
        <v>397</v>
      </c>
      <c r="C14" s="943"/>
      <c r="D14" s="943"/>
      <c r="E14" s="943"/>
      <c r="F14" s="943"/>
      <c r="G14" s="943"/>
      <c r="H14" s="943"/>
      <c r="I14" s="943"/>
      <c r="J14" s="842"/>
      <c r="K14" s="842"/>
      <c r="L14" s="842"/>
      <c r="M14" s="572"/>
      <c r="N14" s="572"/>
      <c r="O14" s="572"/>
      <c r="P14" s="572"/>
      <c r="Q14" s="572"/>
      <c r="R14" s="855"/>
      <c r="S14" s="842"/>
      <c r="T14" s="855"/>
      <c r="U14" s="855"/>
      <c r="V14" s="226"/>
    </row>
    <row r="15" spans="2:40" x14ac:dyDescent="0.25">
      <c r="B15" s="1037" t="s">
        <v>398</v>
      </c>
      <c r="C15" s="1037"/>
      <c r="D15" s="1037"/>
      <c r="E15" s="1037"/>
      <c r="F15" s="1037"/>
      <c r="G15" s="1037"/>
      <c r="H15" s="1037"/>
      <c r="I15" s="1037"/>
      <c r="J15" s="842"/>
      <c r="K15" s="842"/>
      <c r="L15" s="842"/>
      <c r="M15" s="747" t="s">
        <v>292</v>
      </c>
      <c r="N15" s="572"/>
      <c r="O15" s="583">
        <f>AN70</f>
        <v>66.201053000000002</v>
      </c>
      <c r="P15" s="583">
        <f>AN71</f>
        <v>374.93096600000001</v>
      </c>
      <c r="Q15" s="572" t="s">
        <v>285</v>
      </c>
      <c r="R15" s="842"/>
      <c r="S15" s="842"/>
      <c r="T15" s="855"/>
      <c r="U15" s="855"/>
      <c r="V15" s="226"/>
    </row>
    <row r="16" spans="2:40" x14ac:dyDescent="0.25">
      <c r="B16" s="943" t="s">
        <v>399</v>
      </c>
      <c r="C16" s="943"/>
      <c r="D16" s="943"/>
      <c r="E16" s="943"/>
      <c r="F16" s="943"/>
      <c r="G16" s="943"/>
      <c r="H16" s="943"/>
      <c r="I16" s="943"/>
      <c r="J16" s="842"/>
      <c r="K16" s="842"/>
      <c r="L16" s="842"/>
      <c r="M16" s="747" t="s">
        <v>293</v>
      </c>
      <c r="N16" s="572"/>
      <c r="O16" s="583">
        <f>AN68</f>
        <v>163.35831999999999</v>
      </c>
      <c r="P16" s="583">
        <f>AN69</f>
        <v>933.17411900000002</v>
      </c>
      <c r="Q16" s="572" t="s">
        <v>285</v>
      </c>
      <c r="R16" s="842"/>
      <c r="S16" s="842"/>
      <c r="T16" s="855"/>
      <c r="U16" s="855"/>
      <c r="V16" s="226"/>
    </row>
    <row r="17" spans="2:39" x14ac:dyDescent="0.25">
      <c r="B17" s="943" t="s">
        <v>400</v>
      </c>
      <c r="C17" s="943"/>
      <c r="D17" s="943"/>
      <c r="E17" s="943"/>
      <c r="F17" s="943"/>
      <c r="G17" s="943"/>
      <c r="H17" s="943"/>
      <c r="I17" s="943"/>
      <c r="J17" s="842"/>
      <c r="K17" s="842"/>
      <c r="L17" s="842"/>
      <c r="M17" s="572"/>
      <c r="N17" s="572"/>
      <c r="O17" s="599"/>
      <c r="P17" s="599"/>
      <c r="Q17" s="599"/>
      <c r="R17" s="855"/>
      <c r="S17" s="842"/>
      <c r="T17" s="855"/>
      <c r="U17" s="855"/>
      <c r="V17" s="226"/>
    </row>
    <row r="18" spans="2:39" ht="15" customHeight="1" x14ac:dyDescent="0.25">
      <c r="B18" s="943" t="s">
        <v>401</v>
      </c>
      <c r="C18" s="943"/>
      <c r="D18" s="943"/>
      <c r="E18" s="943"/>
      <c r="F18" s="943"/>
      <c r="G18" s="943"/>
      <c r="H18" s="943"/>
      <c r="I18" s="943"/>
      <c r="J18" s="842"/>
      <c r="K18" s="842"/>
      <c r="L18" s="842"/>
      <c r="M18" s="747" t="s">
        <v>306</v>
      </c>
      <c r="N18" s="842"/>
      <c r="O18" s="861">
        <f>AN74</f>
        <v>287.95092699999998</v>
      </c>
      <c r="P18" s="861">
        <f>AN75</f>
        <v>3317.2606290000003</v>
      </c>
      <c r="Q18" s="861"/>
      <c r="R18" s="855"/>
      <c r="S18" s="842"/>
      <c r="T18" s="855"/>
      <c r="U18" s="855"/>
      <c r="V18" s="226"/>
    </row>
    <row r="19" spans="2:39" x14ac:dyDescent="0.25">
      <c r="B19" s="855"/>
      <c r="C19" s="855"/>
      <c r="D19" s="855"/>
      <c r="E19" s="855"/>
      <c r="F19" s="855"/>
      <c r="G19" s="855"/>
      <c r="H19" s="855"/>
      <c r="I19" s="855"/>
      <c r="J19" s="842"/>
      <c r="K19" s="842"/>
      <c r="L19" s="842"/>
      <c r="M19" s="842" t="s">
        <v>346</v>
      </c>
      <c r="N19" s="842"/>
      <c r="O19" s="600">
        <f>LINEST(E74:AF74,$E$49:$AF$49)/AVERAGE(E74:AF74)</f>
        <v>-2.3385777933554057E-2</v>
      </c>
      <c r="P19" s="600">
        <f>LINEST(E75:AF75,$E$49:$AF$49)/AVERAGE(E75:AF75)</f>
        <v>3.37375015912919E-2</v>
      </c>
      <c r="Q19" s="842"/>
      <c r="R19" s="855"/>
      <c r="S19" s="842"/>
      <c r="T19" s="855"/>
      <c r="U19" s="855"/>
      <c r="V19" s="226"/>
    </row>
    <row r="20" spans="2:39" x14ac:dyDescent="0.25">
      <c r="B20" s="844" t="s">
        <v>19</v>
      </c>
      <c r="C20" s="845"/>
      <c r="D20" s="855"/>
      <c r="E20" s="855"/>
      <c r="F20" s="855"/>
      <c r="G20" s="855"/>
      <c r="H20" s="855"/>
      <c r="I20" s="855"/>
      <c r="J20" s="842"/>
      <c r="K20" s="842"/>
      <c r="L20" s="842"/>
      <c r="M20" s="747" t="s">
        <v>307</v>
      </c>
      <c r="N20" s="842"/>
      <c r="O20" s="861">
        <f>AN72</f>
        <v>995.77618099999995</v>
      </c>
      <c r="P20" s="861">
        <f>AN73</f>
        <v>2794.1734830000005</v>
      </c>
      <c r="Q20" s="861"/>
      <c r="R20" s="855"/>
      <c r="S20" s="842"/>
      <c r="T20" s="855"/>
      <c r="U20" s="855"/>
      <c r="V20" s="226"/>
    </row>
    <row r="21" spans="2:39" x14ac:dyDescent="0.25">
      <c r="B21" s="849"/>
      <c r="C21" s="855"/>
      <c r="D21" s="1036" t="s">
        <v>20</v>
      </c>
      <c r="E21" s="1036"/>
      <c r="F21" s="1036"/>
      <c r="G21" s="1036"/>
      <c r="H21" s="1036"/>
      <c r="I21" s="1036"/>
      <c r="J21" s="842"/>
      <c r="K21" s="842"/>
      <c r="L21" s="842"/>
      <c r="M21" s="842" t="s">
        <v>346</v>
      </c>
      <c r="N21" s="842"/>
      <c r="O21" s="600">
        <f>LINEST(E72:AF72,$E$49:$AF$49)/AVERAGE(E72:AF72)</f>
        <v>-8.4917386831122876E-3</v>
      </c>
      <c r="P21" s="600">
        <f>LINEST(E73:AF73,$E$49:$AF$49)/AVERAGE(E73:AF73)</f>
        <v>4.5109182004311778E-3</v>
      </c>
      <c r="Q21" s="842"/>
      <c r="R21" s="855"/>
      <c r="S21" s="842"/>
      <c r="T21" s="855"/>
      <c r="U21" s="855"/>
      <c r="V21" s="226"/>
    </row>
    <row r="22" spans="2:39" x14ac:dyDescent="0.25">
      <c r="B22" s="846" t="s">
        <v>2</v>
      </c>
      <c r="C22" s="372" t="s">
        <v>3</v>
      </c>
      <c r="D22" s="372" t="s">
        <v>54</v>
      </c>
      <c r="E22" s="372" t="s">
        <v>53</v>
      </c>
      <c r="F22" s="372" t="s">
        <v>52</v>
      </c>
      <c r="G22" s="372" t="s">
        <v>51</v>
      </c>
      <c r="H22" s="372" t="s">
        <v>50</v>
      </c>
      <c r="I22" s="372" t="s">
        <v>49</v>
      </c>
      <c r="J22" s="372" t="s">
        <v>345</v>
      </c>
      <c r="K22" s="842"/>
      <c r="L22" s="842"/>
      <c r="M22" s="842"/>
      <c r="N22" s="842"/>
      <c r="O22" s="842"/>
      <c r="P22" s="842"/>
      <c r="Q22" s="842"/>
      <c r="R22" s="842"/>
      <c r="S22" s="842"/>
      <c r="T22" s="842"/>
      <c r="U22" s="842"/>
    </row>
    <row r="23" spans="2:39" ht="15" customHeight="1" x14ac:dyDescent="0.25">
      <c r="B23" s="849" t="s">
        <v>4</v>
      </c>
      <c r="C23" s="850" t="s">
        <v>48</v>
      </c>
      <c r="D23" s="851">
        <v>17405.86</v>
      </c>
      <c r="E23" s="851">
        <v>20073.48</v>
      </c>
      <c r="F23" s="851">
        <v>17598.04</v>
      </c>
      <c r="G23" s="851">
        <v>17763.54</v>
      </c>
      <c r="H23" s="851">
        <v>21316.84</v>
      </c>
      <c r="I23" s="851">
        <v>17623</v>
      </c>
      <c r="J23" s="862">
        <v>16265</v>
      </c>
      <c r="K23" s="842"/>
      <c r="L23" s="572"/>
      <c r="M23" s="747" t="s">
        <v>162</v>
      </c>
      <c r="N23" s="747"/>
      <c r="O23" s="583">
        <f>AN82</f>
        <v>1089.4353679999999</v>
      </c>
      <c r="P23" s="583">
        <f>AN83</f>
        <v>4361.0865880000001</v>
      </c>
      <c r="Q23" s="583"/>
      <c r="R23" s="842"/>
      <c r="S23" s="842"/>
      <c r="T23" s="842"/>
      <c r="U23" s="842"/>
    </row>
    <row r="24" spans="2:39" x14ac:dyDescent="0.25">
      <c r="B24" s="849" t="s">
        <v>6</v>
      </c>
      <c r="C24" s="584">
        <v>1000</v>
      </c>
      <c r="D24" s="851">
        <f t="shared" ref="D24:I24" si="0">D23*D27</f>
        <v>9747977.8344000001</v>
      </c>
      <c r="E24" s="851">
        <f t="shared" si="0"/>
        <v>8212060.6680000005</v>
      </c>
      <c r="F24" s="851">
        <f t="shared" si="0"/>
        <v>7387657.1920000007</v>
      </c>
      <c r="G24" s="851">
        <f t="shared" si="0"/>
        <v>8524722.8460000008</v>
      </c>
      <c r="H24" s="851">
        <f t="shared" si="0"/>
        <v>7970366.4759999998</v>
      </c>
      <c r="I24" s="851">
        <f t="shared" si="0"/>
        <v>5614335.3399999999</v>
      </c>
      <c r="J24" s="862">
        <v>5935423.7999999998</v>
      </c>
      <c r="K24" s="842"/>
      <c r="L24" s="842"/>
      <c r="M24" s="842" t="s">
        <v>346</v>
      </c>
      <c r="N24" s="842"/>
      <c r="O24" s="600">
        <f>LINEST(E82:AF82,$E$49:$AF$49)/AVERAGE(E82:AF82)</f>
        <v>-7.4607138833837711E-2</v>
      </c>
      <c r="P24" s="600">
        <f>LINEST(E83:AF83,$E$49:$AF$49)/AVERAGE(E83:AF83)</f>
        <v>5.3290181664975657E-2</v>
      </c>
      <c r="Q24" s="600"/>
      <c r="R24" s="842"/>
      <c r="S24" s="842"/>
      <c r="T24" s="842"/>
      <c r="U24" s="842"/>
    </row>
    <row r="25" spans="2:39" ht="15" customHeight="1" x14ac:dyDescent="0.25">
      <c r="B25" s="849" t="s">
        <v>8</v>
      </c>
      <c r="C25" s="850" t="s">
        <v>48</v>
      </c>
      <c r="D25" s="851">
        <v>18449</v>
      </c>
      <c r="E25" s="851">
        <v>18609</v>
      </c>
      <c r="F25" s="851">
        <v>17639</v>
      </c>
      <c r="G25" s="851">
        <v>16632</v>
      </c>
      <c r="H25" s="851">
        <v>17750</v>
      </c>
      <c r="I25" s="851">
        <v>17500</v>
      </c>
      <c r="J25" s="862">
        <v>14822</v>
      </c>
      <c r="K25" s="842"/>
      <c r="L25" s="572"/>
      <c r="M25" s="747" t="s">
        <v>205</v>
      </c>
      <c r="N25" s="747"/>
      <c r="O25" s="583">
        <f>AN80</f>
        <v>904.68929700000012</v>
      </c>
      <c r="P25" s="583">
        <f>AN81</f>
        <v>14656.275978</v>
      </c>
      <c r="Q25" s="583"/>
      <c r="R25" s="842"/>
      <c r="S25" s="842"/>
      <c r="T25" s="842"/>
      <c r="U25" s="842"/>
    </row>
    <row r="26" spans="2:39" x14ac:dyDescent="0.25">
      <c r="B26" s="849" t="s">
        <v>10</v>
      </c>
      <c r="C26" s="584">
        <v>1000</v>
      </c>
      <c r="D26" s="851">
        <f t="shared" ref="D26:I26" si="1">D25*D27</f>
        <v>10332177.959999999</v>
      </c>
      <c r="E26" s="851">
        <f t="shared" si="1"/>
        <v>7612941.9000000004</v>
      </c>
      <c r="F26" s="851">
        <f t="shared" si="1"/>
        <v>7404852.2000000002</v>
      </c>
      <c r="G26" s="851">
        <f t="shared" si="1"/>
        <v>7981696.7999999998</v>
      </c>
      <c r="H26" s="851">
        <f t="shared" si="1"/>
        <v>6636725</v>
      </c>
      <c r="I26" s="851">
        <f t="shared" si="1"/>
        <v>5575150</v>
      </c>
      <c r="J26" s="862">
        <v>5408844.2400000002</v>
      </c>
      <c r="K26" s="842"/>
      <c r="L26" s="572"/>
      <c r="M26" s="842" t="s">
        <v>346</v>
      </c>
      <c r="N26" s="842"/>
      <c r="O26" s="600">
        <f>LINEST(E80:AF80,$E$49:$AF$49)/AVERAGE(E80:AF80)</f>
        <v>-7.7854400650322385E-3</v>
      </c>
      <c r="P26" s="600">
        <f>LINEST(E81:AF81,$E$49:$AF$49)/AVERAGE(E81:AF81)</f>
        <v>3.8594423273272858E-2</v>
      </c>
      <c r="Q26" s="600"/>
      <c r="R26" s="842"/>
      <c r="S26" s="842"/>
      <c r="T26" s="842"/>
      <c r="U26" s="842"/>
    </row>
    <row r="27" spans="2:39" x14ac:dyDescent="0.25">
      <c r="B27" s="849" t="s">
        <v>47</v>
      </c>
      <c r="C27" s="850" t="s">
        <v>46</v>
      </c>
      <c r="D27" s="856">
        <v>560.04</v>
      </c>
      <c r="E27" s="856">
        <v>409.1</v>
      </c>
      <c r="F27" s="856">
        <v>419.8</v>
      </c>
      <c r="G27" s="856">
        <v>479.9</v>
      </c>
      <c r="H27" s="856">
        <v>373.9</v>
      </c>
      <c r="I27" s="856">
        <v>318.58</v>
      </c>
      <c r="J27" s="856">
        <v>364.92</v>
      </c>
      <c r="K27" s="842"/>
      <c r="L27" s="572"/>
      <c r="M27" s="572"/>
      <c r="N27" s="594"/>
      <c r="O27" s="572"/>
      <c r="P27" s="572"/>
      <c r="Q27" s="572"/>
      <c r="R27" s="572"/>
      <c r="S27" s="842"/>
      <c r="T27" s="842"/>
      <c r="U27" s="842"/>
    </row>
    <row r="28" spans="2:39" x14ac:dyDescent="0.25">
      <c r="B28" s="849" t="s">
        <v>45</v>
      </c>
      <c r="C28" s="850" t="s">
        <v>27</v>
      </c>
      <c r="D28" s="856" t="s">
        <v>23</v>
      </c>
      <c r="E28" s="856" t="s">
        <v>23</v>
      </c>
      <c r="F28" s="856" t="s">
        <v>23</v>
      </c>
      <c r="G28" s="856">
        <v>94.96</v>
      </c>
      <c r="H28" s="856">
        <v>87.71</v>
      </c>
      <c r="I28" s="856">
        <v>89.17</v>
      </c>
      <c r="J28" s="856">
        <v>93.12</v>
      </c>
      <c r="K28" s="842"/>
      <c r="L28" s="842"/>
      <c r="M28" s="842"/>
      <c r="N28" s="842"/>
      <c r="O28" s="842"/>
      <c r="P28" s="842"/>
      <c r="Q28" s="842"/>
      <c r="R28" s="842"/>
      <c r="S28" s="842"/>
      <c r="T28" s="842"/>
      <c r="U28" s="842"/>
    </row>
    <row r="29" spans="2:39" x14ac:dyDescent="0.25">
      <c r="B29" s="855"/>
      <c r="C29" s="863"/>
      <c r="D29" s="855"/>
      <c r="E29" s="855"/>
      <c r="F29" s="855"/>
      <c r="G29" s="855"/>
      <c r="H29" s="855"/>
      <c r="I29" s="855"/>
      <c r="J29" s="842"/>
      <c r="K29" s="842"/>
      <c r="L29" s="842"/>
      <c r="M29" s="842"/>
      <c r="N29" s="842"/>
      <c r="O29" s="842"/>
      <c r="P29" s="842"/>
      <c r="Q29" s="842"/>
      <c r="R29" s="842"/>
      <c r="S29" s="842"/>
      <c r="T29" s="842"/>
      <c r="U29" s="842"/>
    </row>
    <row r="30" spans="2:39" s="10" customFormat="1" x14ac:dyDescent="0.25">
      <c r="B30" s="1016" t="s">
        <v>44</v>
      </c>
      <c r="C30" s="1016"/>
      <c r="D30" s="1016"/>
      <c r="E30" s="1016"/>
      <c r="F30" s="1016"/>
      <c r="G30" s="1016"/>
      <c r="H30" s="1016"/>
      <c r="I30" s="1016"/>
      <c r="J30" s="859"/>
      <c r="K30" s="859"/>
      <c r="L30" s="859"/>
      <c r="M30" s="859"/>
      <c r="N30" s="859"/>
      <c r="O30" s="859"/>
      <c r="P30" s="859"/>
      <c r="Q30" s="859"/>
      <c r="R30" s="859"/>
      <c r="S30" s="859"/>
      <c r="T30" s="859"/>
      <c r="U30" s="859"/>
      <c r="AC30" s="366"/>
      <c r="AD30" s="366"/>
      <c r="AE30" s="366"/>
      <c r="AF30" s="366"/>
      <c r="AM30" s="366"/>
    </row>
    <row r="31" spans="2:39" x14ac:dyDescent="0.25">
      <c r="B31" s="1016" t="s">
        <v>402</v>
      </c>
      <c r="C31" s="1016"/>
      <c r="D31" s="1016"/>
      <c r="E31" s="1016"/>
      <c r="F31" s="1016"/>
      <c r="G31" s="1016"/>
      <c r="H31" s="1016"/>
      <c r="I31" s="1016"/>
      <c r="J31" s="842"/>
      <c r="K31" s="842"/>
      <c r="L31" s="842"/>
      <c r="M31" s="842"/>
      <c r="N31" s="842"/>
      <c r="O31" s="842"/>
      <c r="P31" s="842"/>
      <c r="Q31" s="842"/>
      <c r="R31" s="842"/>
      <c r="S31" s="842"/>
      <c r="T31" s="842"/>
      <c r="U31" s="842"/>
    </row>
    <row r="32" spans="2:39" x14ac:dyDescent="0.25">
      <c r="B32" s="1052" t="s">
        <v>403</v>
      </c>
      <c r="C32" s="1052"/>
      <c r="D32" s="1052"/>
      <c r="E32" s="1052"/>
      <c r="F32" s="1052"/>
      <c r="G32" s="1052"/>
      <c r="H32" s="1052"/>
      <c r="I32" s="1052"/>
      <c r="J32" s="842"/>
      <c r="K32" s="842"/>
      <c r="L32" s="842"/>
      <c r="M32" s="842"/>
      <c r="N32" s="842"/>
      <c r="O32" s="842"/>
      <c r="P32" s="842"/>
      <c r="Q32" s="842"/>
      <c r="R32" s="842"/>
      <c r="S32" s="842"/>
      <c r="T32" s="842"/>
      <c r="U32" s="842"/>
    </row>
    <row r="33" spans="2:21" x14ac:dyDescent="0.25">
      <c r="B33" s="1052" t="s">
        <v>404</v>
      </c>
      <c r="C33" s="1052"/>
      <c r="D33" s="1052"/>
      <c r="E33" s="1052"/>
      <c r="F33" s="1052"/>
      <c r="G33" s="1052"/>
      <c r="H33" s="1052"/>
      <c r="I33" s="1052"/>
      <c r="J33" s="842"/>
      <c r="K33" s="842"/>
      <c r="L33" s="842"/>
      <c r="M33" s="842"/>
      <c r="N33" s="842"/>
      <c r="O33" s="842"/>
      <c r="P33" s="842"/>
      <c r="Q33" s="842"/>
      <c r="R33" s="842"/>
      <c r="S33" s="842"/>
      <c r="T33" s="842"/>
      <c r="U33" s="842"/>
    </row>
    <row r="34" spans="2:21" x14ac:dyDescent="0.25">
      <c r="B34" s="1053" t="s">
        <v>43</v>
      </c>
      <c r="C34" s="1053"/>
      <c r="D34" s="1053"/>
      <c r="E34" s="1053"/>
      <c r="F34" s="1053"/>
      <c r="G34" s="1053"/>
      <c r="H34" s="1053"/>
      <c r="I34" s="1053"/>
    </row>
    <row r="35" spans="2:21" x14ac:dyDescent="0.25">
      <c r="B35" s="1017" t="s">
        <v>42</v>
      </c>
      <c r="C35" s="1017"/>
      <c r="D35" s="1017"/>
      <c r="E35" s="1017"/>
      <c r="F35" s="1017"/>
      <c r="G35" s="1017"/>
      <c r="H35" s="1017"/>
      <c r="I35" s="1017"/>
    </row>
    <row r="36" spans="2:21" x14ac:dyDescent="0.25">
      <c r="B36" s="1017" t="s">
        <v>332</v>
      </c>
      <c r="C36" s="1017"/>
      <c r="D36" s="1017"/>
      <c r="E36" s="1017"/>
      <c r="F36" s="1017"/>
      <c r="G36" s="1017"/>
      <c r="H36" s="1017"/>
      <c r="I36" s="1017"/>
    </row>
    <row r="37" spans="2:21" x14ac:dyDescent="0.25">
      <c r="B37" s="10"/>
      <c r="C37" s="10"/>
      <c r="D37" s="10"/>
      <c r="E37" s="10"/>
      <c r="F37" s="10"/>
      <c r="G37" s="10"/>
      <c r="H37" s="10"/>
      <c r="I37" s="10"/>
    </row>
    <row r="38" spans="2:21" x14ac:dyDescent="0.25">
      <c r="C38" s="31"/>
    </row>
    <row r="39" spans="2:21" ht="18.75" x14ac:dyDescent="0.3">
      <c r="B39" s="1038" t="s">
        <v>41</v>
      </c>
      <c r="C39" s="1038"/>
      <c r="D39" s="1038"/>
      <c r="E39" s="1038"/>
      <c r="F39" s="1038"/>
      <c r="G39" s="1038"/>
      <c r="H39" s="1038"/>
      <c r="I39" s="1038"/>
      <c r="J39" s="13"/>
      <c r="L39" s="55"/>
      <c r="M39" s="55"/>
      <c r="N39" s="55"/>
      <c r="O39" s="55"/>
    </row>
    <row r="40" spans="2:21" x14ac:dyDescent="0.25">
      <c r="C40" s="31"/>
      <c r="D40" s="54"/>
      <c r="E40" s="54"/>
    </row>
    <row r="41" spans="2:21" x14ac:dyDescent="0.25">
      <c r="B41" s="30" t="s">
        <v>121</v>
      </c>
      <c r="C41"/>
      <c r="D41"/>
      <c r="E41"/>
      <c r="F41"/>
      <c r="G41"/>
      <c r="H41"/>
      <c r="I41"/>
    </row>
    <row r="42" spans="2:21" ht="15.75" thickBot="1" x14ac:dyDescent="0.3">
      <c r="B42" s="30"/>
      <c r="C42"/>
      <c r="D42"/>
      <c r="E42"/>
      <c r="F42"/>
      <c r="G42"/>
      <c r="H42"/>
      <c r="I42"/>
    </row>
    <row r="43" spans="2:21" ht="15.75" thickBot="1" x14ac:dyDescent="0.3">
      <c r="B43" s="1022" t="s">
        <v>130</v>
      </c>
      <c r="C43" s="1022"/>
      <c r="D43" s="1023"/>
      <c r="E43" s="51">
        <v>2014</v>
      </c>
      <c r="F43" s="52">
        <v>2015</v>
      </c>
      <c r="G43" s="52">
        <v>2016</v>
      </c>
      <c r="H43" s="52">
        <v>2017</v>
      </c>
      <c r="I43" s="52">
        <v>2018</v>
      </c>
      <c r="J43" s="53">
        <v>2019</v>
      </c>
      <c r="K43" s="53">
        <v>2020</v>
      </c>
    </row>
    <row r="44" spans="2:21" x14ac:dyDescent="0.25">
      <c r="B44" s="1024" t="s">
        <v>126</v>
      </c>
      <c r="C44" s="1025"/>
      <c r="D44" s="1026"/>
      <c r="E44" s="27">
        <f>AH76</f>
        <v>2.9362379999999999</v>
      </c>
      <c r="F44" s="27">
        <f t="shared" ref="F44:I47" si="2">AI76</f>
        <v>2.3973599999999999</v>
      </c>
      <c r="G44" s="27">
        <f t="shared" si="2"/>
        <v>3.6861100000000002</v>
      </c>
      <c r="H44" s="27">
        <f t="shared" si="2"/>
        <v>4.5236359999999998</v>
      </c>
      <c r="I44" s="27">
        <f t="shared" si="2"/>
        <v>4.833367</v>
      </c>
      <c r="J44" s="27">
        <f>AM76</f>
        <v>4.9559069999999998</v>
      </c>
      <c r="K44" s="27">
        <f>AN76</f>
        <v>4.8369520000000001</v>
      </c>
    </row>
    <row r="45" spans="2:21" x14ac:dyDescent="0.25">
      <c r="B45" s="1027" t="s">
        <v>127</v>
      </c>
      <c r="C45" s="1028"/>
      <c r="D45" s="1029"/>
      <c r="E45" s="26">
        <f t="shared" ref="E45:E47" si="3">AH77</f>
        <v>240.53438699999998</v>
      </c>
      <c r="F45" s="26">
        <f t="shared" si="2"/>
        <v>249.57693400000002</v>
      </c>
      <c r="G45" s="26">
        <f t="shared" si="2"/>
        <v>281.255405</v>
      </c>
      <c r="H45" s="26">
        <f t="shared" si="2"/>
        <v>300.38503100000003</v>
      </c>
      <c r="I45" s="26">
        <f t="shared" si="2"/>
        <v>317.05815200000001</v>
      </c>
      <c r="J45" s="26">
        <f t="shared" ref="J45:J47" si="4">AM77</f>
        <v>322.08522500000004</v>
      </c>
      <c r="K45" s="26">
        <f t="shared" ref="K45:K47" si="5">AN77</f>
        <v>339.93576400000001</v>
      </c>
    </row>
    <row r="46" spans="2:21" x14ac:dyDescent="0.25">
      <c r="B46" s="1030" t="s">
        <v>128</v>
      </c>
      <c r="C46" s="1031"/>
      <c r="D46" s="1032"/>
      <c r="E46" s="12">
        <f t="shared" si="3"/>
        <v>35.428364999999999</v>
      </c>
      <c r="F46" s="12">
        <f t="shared" si="2"/>
        <v>40.440404999999998</v>
      </c>
      <c r="G46" s="12">
        <f t="shared" si="2"/>
        <v>47.147168999999998</v>
      </c>
      <c r="H46" s="12">
        <f t="shared" si="2"/>
        <v>49.991267000000001</v>
      </c>
      <c r="I46" s="12">
        <f t="shared" si="2"/>
        <v>40.960950999999994</v>
      </c>
      <c r="J46" s="12">
        <f t="shared" si="4"/>
        <v>56.046733000000003</v>
      </c>
      <c r="K46" s="12">
        <f t="shared" si="5"/>
        <v>70.902186999999998</v>
      </c>
    </row>
    <row r="47" spans="2:21" ht="15.75" thickBot="1" x14ac:dyDescent="0.3">
      <c r="B47" s="1033" t="s">
        <v>129</v>
      </c>
      <c r="C47" s="1034"/>
      <c r="D47" s="1035"/>
      <c r="E47" s="28">
        <f t="shared" si="3"/>
        <v>33.443785000000005</v>
      </c>
      <c r="F47" s="28">
        <f t="shared" si="2"/>
        <v>35.937542000000001</v>
      </c>
      <c r="G47" s="28">
        <f t="shared" si="2"/>
        <v>37.133583999999999</v>
      </c>
      <c r="H47" s="28">
        <f t="shared" si="2"/>
        <v>49.087373999999997</v>
      </c>
      <c r="I47" s="28">
        <f t="shared" si="2"/>
        <v>63.028092999999998</v>
      </c>
      <c r="J47" s="28">
        <f t="shared" si="4"/>
        <v>59.997743999999997</v>
      </c>
      <c r="K47" s="28">
        <f t="shared" si="5"/>
        <v>61.077524999999994</v>
      </c>
    </row>
    <row r="48" spans="2:21" x14ac:dyDescent="0.25">
      <c r="B48" s="30"/>
      <c r="C48"/>
      <c r="D48"/>
      <c r="E48"/>
      <c r="F48"/>
      <c r="G48"/>
      <c r="H48"/>
      <c r="I48"/>
    </row>
    <row r="49" spans="2:41" ht="15.75" thickBot="1" x14ac:dyDescent="0.3">
      <c r="B49"/>
      <c r="C49"/>
      <c r="D49"/>
      <c r="E49" s="360">
        <v>2014</v>
      </c>
      <c r="F49" s="360">
        <f t="shared" ref="F49:J49" si="6">E49+0.25</f>
        <v>2014.25</v>
      </c>
      <c r="G49" s="360">
        <f t="shared" si="6"/>
        <v>2014.5</v>
      </c>
      <c r="H49" s="360">
        <f t="shared" si="6"/>
        <v>2014.75</v>
      </c>
      <c r="I49" s="360">
        <f t="shared" si="6"/>
        <v>2015</v>
      </c>
      <c r="J49" s="360">
        <f t="shared" si="6"/>
        <v>2015.25</v>
      </c>
      <c r="K49" s="360">
        <f t="shared" ref="K49" si="7">J49+0.25</f>
        <v>2015.5</v>
      </c>
      <c r="L49" s="360">
        <f t="shared" ref="L49" si="8">K49+0.25</f>
        <v>2015.75</v>
      </c>
      <c r="M49" s="360">
        <f t="shared" ref="M49" si="9">L49+0.25</f>
        <v>2016</v>
      </c>
      <c r="N49" s="360">
        <f t="shared" ref="N49" si="10">M49+0.25</f>
        <v>2016.25</v>
      </c>
      <c r="O49" s="360">
        <f t="shared" ref="O49" si="11">N49+0.25</f>
        <v>2016.5</v>
      </c>
      <c r="P49" s="360">
        <f t="shared" ref="P49" si="12">O49+0.25</f>
        <v>2016.75</v>
      </c>
      <c r="Q49" s="360">
        <f t="shared" ref="Q49" si="13">P49+0.25</f>
        <v>2017</v>
      </c>
      <c r="R49" s="360">
        <f t="shared" ref="R49" si="14">Q49+0.25</f>
        <v>2017.25</v>
      </c>
      <c r="S49" s="360">
        <f t="shared" ref="S49" si="15">R49+0.25</f>
        <v>2017.5</v>
      </c>
      <c r="T49" s="360">
        <f t="shared" ref="T49" si="16">S49+0.25</f>
        <v>2017.75</v>
      </c>
      <c r="U49" s="360">
        <f t="shared" ref="U49" si="17">T49+0.25</f>
        <v>2018</v>
      </c>
      <c r="V49" s="360">
        <f t="shared" ref="V49" si="18">U49+0.25</f>
        <v>2018.25</v>
      </c>
      <c r="W49" s="360">
        <f t="shared" ref="W49" si="19">V49+0.25</f>
        <v>2018.5</v>
      </c>
      <c r="X49" s="360">
        <f t="shared" ref="X49" si="20">W49+0.25</f>
        <v>2018.75</v>
      </c>
      <c r="Y49" s="360">
        <f t="shared" ref="Y49" si="21">X49+0.25</f>
        <v>2019</v>
      </c>
      <c r="Z49" s="360">
        <f t="shared" ref="Z49" si="22">Y49+0.25</f>
        <v>2019.25</v>
      </c>
      <c r="AA49" s="360">
        <f t="shared" ref="AA49" si="23">Z49+0.25</f>
        <v>2019.5</v>
      </c>
      <c r="AB49" s="360">
        <f t="shared" ref="AB49" si="24">AA49+0.25</f>
        <v>2019.75</v>
      </c>
      <c r="AC49" s="360">
        <f t="shared" ref="AC49" si="25">AB49+0.25</f>
        <v>2020</v>
      </c>
      <c r="AD49" s="360">
        <f t="shared" ref="AD49" si="26">AC49+0.25</f>
        <v>2020.25</v>
      </c>
      <c r="AE49" s="360">
        <f t="shared" ref="AE49" si="27">AD49+0.25</f>
        <v>2020.5</v>
      </c>
      <c r="AF49" s="360">
        <f t="shared" ref="AF49" si="28">AE49+0.25</f>
        <v>2020.75</v>
      </c>
    </row>
    <row r="50" spans="2:41" ht="15.75" thickBot="1" x14ac:dyDescent="0.3">
      <c r="B50" s="1022" t="s">
        <v>130</v>
      </c>
      <c r="C50" s="1022"/>
      <c r="D50" s="1023"/>
      <c r="E50" s="102" t="s">
        <v>100</v>
      </c>
      <c r="F50" s="103" t="s">
        <v>101</v>
      </c>
      <c r="G50" s="103" t="s">
        <v>104</v>
      </c>
      <c r="H50" s="104" t="s">
        <v>105</v>
      </c>
      <c r="I50" s="102" t="s">
        <v>102</v>
      </c>
      <c r="J50" s="103" t="s">
        <v>103</v>
      </c>
      <c r="K50" s="103" t="s">
        <v>106</v>
      </c>
      <c r="L50" s="104" t="s">
        <v>107</v>
      </c>
      <c r="M50" s="102" t="s">
        <v>108</v>
      </c>
      <c r="N50" s="103" t="s">
        <v>109</v>
      </c>
      <c r="O50" s="103" t="s">
        <v>110</v>
      </c>
      <c r="P50" s="104" t="s">
        <v>111</v>
      </c>
      <c r="Q50" s="102" t="s">
        <v>112</v>
      </c>
      <c r="R50" s="103" t="s">
        <v>113</v>
      </c>
      <c r="S50" s="105" t="s">
        <v>114</v>
      </c>
      <c r="T50" s="106" t="s">
        <v>115</v>
      </c>
      <c r="U50" s="102" t="s">
        <v>116</v>
      </c>
      <c r="V50" s="103" t="s">
        <v>117</v>
      </c>
      <c r="W50" s="103" t="s">
        <v>118</v>
      </c>
      <c r="X50" s="104" t="s">
        <v>119</v>
      </c>
      <c r="Y50" s="102" t="s">
        <v>242</v>
      </c>
      <c r="Z50" s="103" t="s">
        <v>243</v>
      </c>
      <c r="AA50" s="103" t="s">
        <v>333</v>
      </c>
      <c r="AB50" s="104" t="s">
        <v>334</v>
      </c>
      <c r="AC50" s="102" t="s">
        <v>355</v>
      </c>
      <c r="AD50" s="103" t="s">
        <v>356</v>
      </c>
      <c r="AE50" s="103" t="s">
        <v>357</v>
      </c>
      <c r="AF50" s="104" t="s">
        <v>358</v>
      </c>
    </row>
    <row r="51" spans="2:41" x14ac:dyDescent="0.25">
      <c r="B51" s="1024" t="s">
        <v>256</v>
      </c>
      <c r="C51" s="1025"/>
      <c r="D51" s="1026"/>
      <c r="E51" s="81">
        <f>E76</f>
        <v>0.53376699999999999</v>
      </c>
      <c r="F51" s="82">
        <f t="shared" ref="F51:I51" si="29">F76</f>
        <v>0.75135000000000007</v>
      </c>
      <c r="G51" s="82">
        <f t="shared" si="29"/>
        <v>0.707121</v>
      </c>
      <c r="H51" s="83">
        <f t="shared" si="29"/>
        <v>0.94399999999999995</v>
      </c>
      <c r="I51" s="81">
        <f t="shared" si="29"/>
        <v>0.55667500000000003</v>
      </c>
      <c r="J51" s="82">
        <f t="shared" ref="J51:AB51" si="30">J76</f>
        <v>0.53101599999999993</v>
      </c>
      <c r="K51" s="82">
        <f t="shared" si="30"/>
        <v>0.66300099999999995</v>
      </c>
      <c r="L51" s="83">
        <f t="shared" si="30"/>
        <v>0.64666800000000002</v>
      </c>
      <c r="M51" s="81">
        <f t="shared" si="30"/>
        <v>0.60264800000000007</v>
      </c>
      <c r="N51" s="82">
        <f t="shared" si="30"/>
        <v>0.59382000000000001</v>
      </c>
      <c r="O51" s="82">
        <f t="shared" si="30"/>
        <v>1.4019680000000001</v>
      </c>
      <c r="P51" s="83">
        <f t="shared" si="30"/>
        <v>1.087674</v>
      </c>
      <c r="Q51" s="81">
        <f t="shared" si="30"/>
        <v>1.122452</v>
      </c>
      <c r="R51" s="82">
        <f t="shared" si="30"/>
        <v>1.2400329999999999</v>
      </c>
      <c r="S51" s="84">
        <f t="shared" si="30"/>
        <v>1.1633249999999999</v>
      </c>
      <c r="T51" s="85">
        <f t="shared" si="30"/>
        <v>0.9978260000000001</v>
      </c>
      <c r="U51" s="81">
        <f t="shared" si="30"/>
        <v>1.164431</v>
      </c>
      <c r="V51" s="82">
        <f t="shared" si="30"/>
        <v>1.3558239999999999</v>
      </c>
      <c r="W51" s="82">
        <f t="shared" si="30"/>
        <v>1.2088000000000001</v>
      </c>
      <c r="X51" s="83">
        <f t="shared" si="30"/>
        <v>1.104312</v>
      </c>
      <c r="Y51" s="81">
        <f t="shared" si="30"/>
        <v>1.3285400000000001</v>
      </c>
      <c r="Z51" s="82">
        <f t="shared" si="30"/>
        <v>1.4395</v>
      </c>
      <c r="AA51" s="82">
        <f t="shared" si="30"/>
        <v>1.1870240000000001</v>
      </c>
      <c r="AB51" s="83">
        <f t="shared" si="30"/>
        <v>1.0008429999999999</v>
      </c>
      <c r="AC51" s="81">
        <f t="shared" ref="AC51:AF51" si="31">AC76</f>
        <v>1.3469879999999999</v>
      </c>
      <c r="AD51" s="82">
        <f t="shared" si="31"/>
        <v>1.287833</v>
      </c>
      <c r="AE51" s="82">
        <f t="shared" si="31"/>
        <v>0.98662099999999997</v>
      </c>
      <c r="AF51" s="83">
        <f t="shared" si="31"/>
        <v>1.2155100000000001</v>
      </c>
    </row>
    <row r="52" spans="2:41" x14ac:dyDescent="0.25">
      <c r="B52" s="1027" t="s">
        <v>257</v>
      </c>
      <c r="C52" s="1028"/>
      <c r="D52" s="1029"/>
      <c r="E52" s="86">
        <f t="shared" ref="E52:H54" si="32">E77</f>
        <v>46.061748000000001</v>
      </c>
      <c r="F52" s="87">
        <f t="shared" si="32"/>
        <v>48.797933</v>
      </c>
      <c r="G52" s="87">
        <f t="shared" si="32"/>
        <v>82.564875999999998</v>
      </c>
      <c r="H52" s="88">
        <f t="shared" si="32"/>
        <v>63.109830000000002</v>
      </c>
      <c r="I52" s="86">
        <f t="shared" ref="I52:AB52" si="33">I77</f>
        <v>46.576255000000003</v>
      </c>
      <c r="J52" s="87">
        <f t="shared" si="33"/>
        <v>50.476515999999997</v>
      </c>
      <c r="K52" s="87">
        <f t="shared" si="33"/>
        <v>87.256074999999996</v>
      </c>
      <c r="L52" s="88">
        <f t="shared" si="33"/>
        <v>65.268088000000006</v>
      </c>
      <c r="M52" s="86">
        <f t="shared" si="33"/>
        <v>53.565870000000004</v>
      </c>
      <c r="N52" s="87">
        <f t="shared" si="33"/>
        <v>57.418731999999999</v>
      </c>
      <c r="O52" s="87">
        <f t="shared" si="33"/>
        <v>101.617406</v>
      </c>
      <c r="P52" s="88">
        <f t="shared" si="33"/>
        <v>68.653396999999998</v>
      </c>
      <c r="Q52" s="86">
        <f t="shared" si="33"/>
        <v>57.793923000000007</v>
      </c>
      <c r="R52" s="87">
        <f t="shared" si="33"/>
        <v>61.104633</v>
      </c>
      <c r="S52" s="89">
        <f t="shared" si="33"/>
        <v>104.001502</v>
      </c>
      <c r="T52" s="90">
        <f t="shared" si="33"/>
        <v>77.484972999999997</v>
      </c>
      <c r="U52" s="86">
        <f t="shared" si="33"/>
        <v>62.877090000000003</v>
      </c>
      <c r="V52" s="87">
        <f t="shared" si="33"/>
        <v>67.728942000000004</v>
      </c>
      <c r="W52" s="87">
        <f t="shared" si="33"/>
        <v>111.43394400000001</v>
      </c>
      <c r="X52" s="88">
        <f t="shared" si="33"/>
        <v>75.018175999999997</v>
      </c>
      <c r="Y52" s="86">
        <f t="shared" si="33"/>
        <v>58.957751000000002</v>
      </c>
      <c r="Z52" s="87">
        <f t="shared" si="33"/>
        <v>69.650516999999994</v>
      </c>
      <c r="AA52" s="87">
        <f t="shared" si="33"/>
        <v>111.80391</v>
      </c>
      <c r="AB52" s="88">
        <f t="shared" si="33"/>
        <v>81.673046999999997</v>
      </c>
      <c r="AC52" s="86">
        <f t="shared" ref="AC52:AF52" si="34">AC77</f>
        <v>64.892277000000007</v>
      </c>
      <c r="AD52" s="87">
        <f t="shared" si="34"/>
        <v>72.483263999999991</v>
      </c>
      <c r="AE52" s="87">
        <f t="shared" si="34"/>
        <v>113.98567399999999</v>
      </c>
      <c r="AF52" s="88">
        <f t="shared" si="34"/>
        <v>88.574549000000005</v>
      </c>
    </row>
    <row r="53" spans="2:41" x14ac:dyDescent="0.25">
      <c r="B53" s="1030" t="s">
        <v>260</v>
      </c>
      <c r="C53" s="1031"/>
      <c r="D53" s="1032"/>
      <c r="E53" s="91">
        <f t="shared" si="32"/>
        <v>7.5159590000000005</v>
      </c>
      <c r="F53" s="92">
        <f t="shared" si="32"/>
        <v>8.7049679999999992</v>
      </c>
      <c r="G53" s="92">
        <f t="shared" si="32"/>
        <v>8.5265719999999998</v>
      </c>
      <c r="H53" s="93">
        <f t="shared" si="32"/>
        <v>10.680866</v>
      </c>
      <c r="I53" s="91">
        <f t="shared" ref="I53:AB53" si="35">I78</f>
        <v>7.8453229999999996</v>
      </c>
      <c r="J53" s="92">
        <f t="shared" si="35"/>
        <v>11.943586</v>
      </c>
      <c r="K53" s="92">
        <f t="shared" si="35"/>
        <v>9.5311059999999994</v>
      </c>
      <c r="L53" s="93">
        <f t="shared" si="35"/>
        <v>11.12039</v>
      </c>
      <c r="M53" s="91">
        <f t="shared" si="35"/>
        <v>9.1854410000000009</v>
      </c>
      <c r="N53" s="92">
        <f t="shared" si="35"/>
        <v>13.112024999999999</v>
      </c>
      <c r="O53" s="92">
        <f t="shared" si="35"/>
        <v>12.329526999999999</v>
      </c>
      <c r="P53" s="93">
        <f t="shared" si="35"/>
        <v>12.520176000000001</v>
      </c>
      <c r="Q53" s="91">
        <f t="shared" si="35"/>
        <v>11.252056999999999</v>
      </c>
      <c r="R53" s="92">
        <f t="shared" si="35"/>
        <v>11.083580000000001</v>
      </c>
      <c r="S53" s="94">
        <f t="shared" si="35"/>
        <v>12.558739000000001</v>
      </c>
      <c r="T53" s="95">
        <f t="shared" si="35"/>
        <v>15.096890999999999</v>
      </c>
      <c r="U53" s="91">
        <f t="shared" si="35"/>
        <v>10.430026</v>
      </c>
      <c r="V53" s="92">
        <f t="shared" si="35"/>
        <v>11.194564</v>
      </c>
      <c r="W53" s="92">
        <f t="shared" si="35"/>
        <v>9.1386269999999996</v>
      </c>
      <c r="X53" s="93">
        <f t="shared" si="35"/>
        <v>10.197734000000001</v>
      </c>
      <c r="Y53" s="91">
        <f t="shared" si="35"/>
        <v>14.684445</v>
      </c>
      <c r="Z53" s="92">
        <f t="shared" si="35"/>
        <v>13.222514</v>
      </c>
      <c r="AA53" s="92">
        <f t="shared" si="35"/>
        <v>12.443442000000001</v>
      </c>
      <c r="AB53" s="93">
        <f t="shared" si="35"/>
        <v>15.696332</v>
      </c>
      <c r="AC53" s="91">
        <f t="shared" ref="AC53:AF53" si="36">AC78</f>
        <v>17.027166999999999</v>
      </c>
      <c r="AD53" s="92">
        <f t="shared" si="36"/>
        <v>17.375846999999997</v>
      </c>
      <c r="AE53" s="92">
        <f t="shared" si="36"/>
        <v>15.973789999999999</v>
      </c>
      <c r="AF53" s="93">
        <f t="shared" si="36"/>
        <v>20.525383000000001</v>
      </c>
    </row>
    <row r="54" spans="2:41" ht="15.75" thickBot="1" x14ac:dyDescent="0.3">
      <c r="B54" s="1033" t="s">
        <v>261</v>
      </c>
      <c r="C54" s="1034"/>
      <c r="D54" s="1035"/>
      <c r="E54" s="96">
        <f t="shared" si="32"/>
        <v>8.6422430000000006</v>
      </c>
      <c r="F54" s="97">
        <f t="shared" si="32"/>
        <v>9.5050820000000016</v>
      </c>
      <c r="G54" s="97">
        <f t="shared" si="32"/>
        <v>7.6733200000000004</v>
      </c>
      <c r="H54" s="98">
        <f t="shared" si="32"/>
        <v>7.6231399999999994</v>
      </c>
      <c r="I54" s="96">
        <f t="shared" ref="I54:AB54" si="37">I79</f>
        <v>8.4353179999999988</v>
      </c>
      <c r="J54" s="97">
        <f t="shared" si="37"/>
        <v>10.132886000000001</v>
      </c>
      <c r="K54" s="97">
        <f t="shared" si="37"/>
        <v>8.9230839999999993</v>
      </c>
      <c r="L54" s="98">
        <f t="shared" si="37"/>
        <v>8.4462539999999997</v>
      </c>
      <c r="M54" s="96">
        <f t="shared" si="37"/>
        <v>9.7356789999999993</v>
      </c>
      <c r="N54" s="97">
        <f t="shared" si="37"/>
        <v>10.844156</v>
      </c>
      <c r="O54" s="97">
        <f t="shared" si="37"/>
        <v>8.4236159999999991</v>
      </c>
      <c r="P54" s="98">
        <f t="shared" si="37"/>
        <v>8.1301330000000007</v>
      </c>
      <c r="Q54" s="96">
        <f t="shared" si="37"/>
        <v>11.171411000000001</v>
      </c>
      <c r="R54" s="97">
        <f t="shared" si="37"/>
        <v>12.633787</v>
      </c>
      <c r="S54" s="99">
        <f t="shared" si="37"/>
        <v>12.491081999999999</v>
      </c>
      <c r="T54" s="100">
        <f t="shared" si="37"/>
        <v>12.791093999999999</v>
      </c>
      <c r="U54" s="96">
        <f t="shared" si="37"/>
        <v>14.681077</v>
      </c>
      <c r="V54" s="97">
        <f t="shared" si="37"/>
        <v>16.020363</v>
      </c>
      <c r="W54" s="97">
        <f t="shared" si="37"/>
        <v>17.608288000000002</v>
      </c>
      <c r="X54" s="98">
        <f t="shared" si="37"/>
        <v>14.718364999999999</v>
      </c>
      <c r="Y54" s="96">
        <f t="shared" si="37"/>
        <v>14.864748000000001</v>
      </c>
      <c r="Z54" s="97">
        <f t="shared" si="37"/>
        <v>17.369889000000001</v>
      </c>
      <c r="AA54" s="97">
        <f t="shared" si="37"/>
        <v>13.290746</v>
      </c>
      <c r="AB54" s="98">
        <f t="shared" si="37"/>
        <v>14.472360999999999</v>
      </c>
      <c r="AC54" s="96">
        <f t="shared" ref="AC54:AF54" si="38">AC79</f>
        <v>14.585616999999999</v>
      </c>
      <c r="AD54" s="97">
        <f t="shared" si="38"/>
        <v>13.675249000000001</v>
      </c>
      <c r="AE54" s="97">
        <f t="shared" si="38"/>
        <v>13.287957</v>
      </c>
      <c r="AF54" s="98">
        <f t="shared" si="38"/>
        <v>19.528701999999999</v>
      </c>
    </row>
    <row r="55" spans="2:41" s="133" customFormat="1" ht="15.75" thickBot="1" x14ac:dyDescent="0.3">
      <c r="B55" s="1019" t="s">
        <v>183</v>
      </c>
      <c r="C55" s="1020"/>
      <c r="D55" s="1021"/>
      <c r="E55" s="145"/>
      <c r="F55" s="146"/>
      <c r="G55" s="146"/>
      <c r="H55" s="147"/>
      <c r="I55" s="145"/>
      <c r="J55" s="146"/>
      <c r="K55" s="146"/>
      <c r="L55" s="147"/>
      <c r="M55" s="145"/>
      <c r="N55" s="146"/>
      <c r="O55" s="146"/>
      <c r="P55" s="147"/>
      <c r="Q55" s="145">
        <f>(H94+H97+H100)*H9/1000000</f>
        <v>0</v>
      </c>
      <c r="R55" s="146"/>
      <c r="S55" s="148"/>
      <c r="T55" s="149"/>
      <c r="U55" s="145">
        <f>(I94+I97+I100)*H9/1000000</f>
        <v>7.3879999999999996E-3</v>
      </c>
      <c r="V55" s="146"/>
      <c r="W55" s="146"/>
      <c r="X55" s="147"/>
      <c r="Y55" s="145">
        <f>(J94+J97+J100)*I9/1000000</f>
        <v>0</v>
      </c>
      <c r="Z55" s="146"/>
      <c r="AA55" s="146"/>
      <c r="AB55" s="147"/>
      <c r="AC55" s="145">
        <f>(N94+N97+N100)*M9/1000000</f>
        <v>0</v>
      </c>
      <c r="AD55" s="146"/>
      <c r="AE55" s="146"/>
      <c r="AF55" s="147"/>
    </row>
    <row r="56" spans="2:41" s="133" customFormat="1" ht="15.75" thickBot="1" x14ac:dyDescent="0.3">
      <c r="B56" s="1019" t="s">
        <v>182</v>
      </c>
      <c r="C56" s="1020"/>
      <c r="D56" s="1021"/>
      <c r="E56" s="145">
        <f>D26/1000/4*5%</f>
        <v>129.15222449999999</v>
      </c>
      <c r="F56" s="146">
        <f>E56</f>
        <v>129.15222449999999</v>
      </c>
      <c r="G56" s="146">
        <f t="shared" ref="G56:H56" si="39">F56</f>
        <v>129.15222449999999</v>
      </c>
      <c r="H56" s="147">
        <f t="shared" si="39"/>
        <v>129.15222449999999</v>
      </c>
      <c r="I56" s="145">
        <f>E26/1000/4*5%</f>
        <v>95.161773750000009</v>
      </c>
      <c r="J56" s="146">
        <f>I56</f>
        <v>95.161773750000009</v>
      </c>
      <c r="K56" s="146">
        <f>J56</f>
        <v>95.161773750000009</v>
      </c>
      <c r="L56" s="147">
        <f t="shared" ref="L56" si="40">K56</f>
        <v>95.161773750000009</v>
      </c>
      <c r="M56" s="145">
        <f>F26/1000/4*5%</f>
        <v>92.560652500000003</v>
      </c>
      <c r="N56" s="146">
        <f>M56</f>
        <v>92.560652500000003</v>
      </c>
      <c r="O56" s="146">
        <f t="shared" ref="O56:P56" si="41">N56</f>
        <v>92.560652500000003</v>
      </c>
      <c r="P56" s="147">
        <f t="shared" si="41"/>
        <v>92.560652500000003</v>
      </c>
      <c r="Q56" s="145">
        <f>G26/1000/4*5%</f>
        <v>99.771209999999996</v>
      </c>
      <c r="R56" s="146">
        <f>Q56</f>
        <v>99.771209999999996</v>
      </c>
      <c r="S56" s="148">
        <f t="shared" ref="S56:T56" si="42">R56</f>
        <v>99.771209999999996</v>
      </c>
      <c r="T56" s="149">
        <f t="shared" si="42"/>
        <v>99.771209999999996</v>
      </c>
      <c r="U56" s="145">
        <f>H26/1000/4*5%</f>
        <v>82.959062500000016</v>
      </c>
      <c r="V56" s="146">
        <f>U56</f>
        <v>82.959062500000016</v>
      </c>
      <c r="W56" s="146">
        <f t="shared" ref="W56:X56" si="43">V56</f>
        <v>82.959062500000016</v>
      </c>
      <c r="X56" s="147">
        <f t="shared" si="43"/>
        <v>82.959062500000016</v>
      </c>
      <c r="Y56" s="145">
        <f>I26/1000/4*5%</f>
        <v>69.689374999999998</v>
      </c>
      <c r="Z56" s="146">
        <f>Y56</f>
        <v>69.689374999999998</v>
      </c>
      <c r="AA56" s="146">
        <f t="shared" ref="AA56" si="44">Z56</f>
        <v>69.689374999999998</v>
      </c>
      <c r="AB56" s="147">
        <f t="shared" ref="AB56" si="45">AA56</f>
        <v>69.689374999999998</v>
      </c>
      <c r="AC56" s="145">
        <f>J26/1000/4*5%</f>
        <v>67.61055300000001</v>
      </c>
      <c r="AD56" s="146">
        <f>AC56</f>
        <v>67.61055300000001</v>
      </c>
      <c r="AE56" s="146">
        <f t="shared" ref="AE56" si="46">AD56</f>
        <v>67.61055300000001</v>
      </c>
      <c r="AF56" s="147">
        <f t="shared" ref="AF56" si="47">AE56</f>
        <v>67.61055300000001</v>
      </c>
    </row>
    <row r="57" spans="2:41" x14ac:dyDescent="0.25">
      <c r="B57" s="65"/>
      <c r="C57" s="65"/>
      <c r="D57" s="65"/>
      <c r="E57" s="64"/>
      <c r="F57" s="64"/>
      <c r="G57" s="64"/>
      <c r="H57" s="64"/>
      <c r="I57" s="64"/>
    </row>
    <row r="58" spans="2:41" x14ac:dyDescent="0.25">
      <c r="B58" s="65" t="s">
        <v>258</v>
      </c>
      <c r="C58" s="65"/>
      <c r="D58" s="65"/>
      <c r="E58" s="64"/>
      <c r="F58" s="64"/>
      <c r="G58" s="64"/>
      <c r="H58" s="64"/>
      <c r="I58" s="64"/>
    </row>
    <row r="59" spans="2:41" x14ac:dyDescent="0.25">
      <c r="B59" s="65" t="s">
        <v>259</v>
      </c>
      <c r="C59" s="623"/>
      <c r="D59" s="623"/>
      <c r="E59" s="624"/>
      <c r="F59" s="624"/>
      <c r="G59" s="624"/>
      <c r="H59" s="624"/>
      <c r="I59" s="624"/>
    </row>
    <row r="60" spans="2:41" x14ac:dyDescent="0.25">
      <c r="B60" s="65"/>
      <c r="C60" s="623"/>
      <c r="D60" s="623"/>
      <c r="E60" s="624"/>
      <c r="F60" s="624"/>
      <c r="G60" s="624"/>
      <c r="H60" s="624"/>
      <c r="I60" s="624"/>
      <c r="J60" s="64"/>
      <c r="K60" s="64"/>
      <c r="L60" s="64"/>
      <c r="M60" s="64"/>
      <c r="N60" s="64"/>
      <c r="O60" s="64"/>
      <c r="P60" s="64"/>
      <c r="Q60" s="64"/>
      <c r="R60" s="64"/>
      <c r="S60" s="64"/>
      <c r="T60" s="64"/>
      <c r="U60" s="64"/>
      <c r="V60" s="64"/>
      <c r="W60" s="64"/>
      <c r="X60" s="64"/>
      <c r="Y60" s="64"/>
      <c r="Z60" s="64"/>
      <c r="AA60" s="64"/>
      <c r="AB60" s="64"/>
      <c r="AC60" s="64"/>
      <c r="AD60" s="64"/>
      <c r="AE60" s="64"/>
      <c r="AF60" s="64"/>
    </row>
    <row r="61" spans="2:41" x14ac:dyDescent="0.25">
      <c r="B61" s="30" t="s">
        <v>73</v>
      </c>
      <c r="C61" s="842"/>
      <c r="D61" s="843"/>
      <c r="E61" s="842"/>
      <c r="F61" s="842"/>
      <c r="G61" s="842"/>
      <c r="H61" s="842"/>
      <c r="I61" s="842"/>
      <c r="J61" s="75"/>
      <c r="K61" s="75"/>
      <c r="L61" s="75"/>
      <c r="M61" s="75"/>
      <c r="N61" s="75"/>
      <c r="O61" s="75"/>
      <c r="P61" s="75"/>
      <c r="Q61" s="75"/>
      <c r="R61" s="75"/>
      <c r="S61" s="75"/>
      <c r="T61" s="75"/>
      <c r="U61" s="75"/>
      <c r="V61" s="75"/>
      <c r="W61" s="75"/>
      <c r="X61" s="75"/>
      <c r="Y61" s="75"/>
      <c r="Z61" s="75"/>
      <c r="AA61" s="75"/>
      <c r="AB61" s="75"/>
      <c r="AC61" s="75"/>
      <c r="AD61" s="75"/>
      <c r="AE61" s="75"/>
      <c r="AF61" s="75"/>
    </row>
    <row r="62" spans="2:41" ht="15.75" thickBot="1" x14ac:dyDescent="0.3">
      <c r="C62" s="842"/>
      <c r="D62" s="843"/>
      <c r="E62" s="864"/>
      <c r="F62" s="864"/>
      <c r="G62" s="864"/>
      <c r="H62" s="864"/>
      <c r="I62" s="864"/>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5"/>
      <c r="AO62" s="364"/>
    </row>
    <row r="63" spans="2:41" ht="15.75" thickBot="1" x14ac:dyDescent="0.3">
      <c r="B63" s="66" t="s">
        <v>130</v>
      </c>
      <c r="C63" s="494" t="s">
        <v>68</v>
      </c>
      <c r="D63" s="498" t="s">
        <v>69</v>
      </c>
      <c r="E63" s="497" t="s">
        <v>100</v>
      </c>
      <c r="F63" s="494" t="s">
        <v>101</v>
      </c>
      <c r="G63" s="494" t="s">
        <v>104</v>
      </c>
      <c r="H63" s="498" t="s">
        <v>105</v>
      </c>
      <c r="I63" s="497" t="s">
        <v>102</v>
      </c>
      <c r="J63" s="103" t="s">
        <v>103</v>
      </c>
      <c r="K63" s="103" t="s">
        <v>106</v>
      </c>
      <c r="L63" s="104" t="s">
        <v>107</v>
      </c>
      <c r="M63" s="102" t="s">
        <v>108</v>
      </c>
      <c r="N63" s="103" t="s">
        <v>109</v>
      </c>
      <c r="O63" s="103" t="s">
        <v>110</v>
      </c>
      <c r="P63" s="104" t="s">
        <v>111</v>
      </c>
      <c r="Q63" s="102" t="s">
        <v>112</v>
      </c>
      <c r="R63" s="103" t="s">
        <v>113</v>
      </c>
      <c r="S63" s="105" t="s">
        <v>114</v>
      </c>
      <c r="T63" s="106" t="s">
        <v>115</v>
      </c>
      <c r="U63" s="102" t="s">
        <v>116</v>
      </c>
      <c r="V63" s="103" t="s">
        <v>117</v>
      </c>
      <c r="W63" s="103" t="s">
        <v>118</v>
      </c>
      <c r="X63" s="104" t="s">
        <v>119</v>
      </c>
      <c r="Y63" s="102" t="s">
        <v>242</v>
      </c>
      <c r="Z63" s="103" t="s">
        <v>243</v>
      </c>
      <c r="AA63" s="103" t="s">
        <v>333</v>
      </c>
      <c r="AB63" s="104" t="s">
        <v>334</v>
      </c>
      <c r="AC63" s="102" t="s">
        <v>355</v>
      </c>
      <c r="AD63" s="103" t="s">
        <v>356</v>
      </c>
      <c r="AE63" s="103" t="s">
        <v>357</v>
      </c>
      <c r="AF63" s="104" t="s">
        <v>358</v>
      </c>
      <c r="AG63" s="115"/>
      <c r="AH63" s="102">
        <v>2014</v>
      </c>
      <c r="AI63" s="103">
        <v>2015</v>
      </c>
      <c r="AJ63" s="103">
        <v>2016</v>
      </c>
      <c r="AK63" s="103">
        <v>2017</v>
      </c>
      <c r="AL63" s="103">
        <v>2018</v>
      </c>
      <c r="AM63" s="104">
        <v>2019</v>
      </c>
      <c r="AN63" s="399">
        <v>2020</v>
      </c>
      <c r="AO63" s="391"/>
    </row>
    <row r="64" spans="2:41" ht="15" customHeight="1" thickBot="1" x14ac:dyDescent="0.3">
      <c r="B64" s="20" t="s">
        <v>342</v>
      </c>
      <c r="C64" s="911" t="s">
        <v>300</v>
      </c>
      <c r="D64" s="912"/>
      <c r="E64" s="127">
        <v>0.16219500000000001</v>
      </c>
      <c r="F64" s="128">
        <v>0.15495400000000001</v>
      </c>
      <c r="G64" s="128">
        <v>0.225832</v>
      </c>
      <c r="H64" s="129">
        <v>0.18027300000000002</v>
      </c>
      <c r="I64" s="127">
        <v>0.161194</v>
      </c>
      <c r="J64" s="82">
        <v>0.17077599999999998</v>
      </c>
      <c r="K64" s="82">
        <v>0.20982600000000001</v>
      </c>
      <c r="L64" s="83">
        <v>0.18129699999999999</v>
      </c>
      <c r="M64" s="81">
        <v>0.18403900000000001</v>
      </c>
      <c r="N64" s="82">
        <v>0.17094199999999998</v>
      </c>
      <c r="O64" s="82">
        <v>0.27764299999999997</v>
      </c>
      <c r="P64" s="83">
        <v>7.6586000000000001E-2</v>
      </c>
      <c r="Q64" s="81">
        <v>0.157332</v>
      </c>
      <c r="R64" s="82">
        <v>0.30426699999999995</v>
      </c>
      <c r="S64" s="84">
        <v>0.269013</v>
      </c>
      <c r="T64" s="85">
        <v>8.6470000000000005E-2</v>
      </c>
      <c r="U64" s="81">
        <v>0.30593199999999998</v>
      </c>
      <c r="V64" s="82">
        <v>0.37067699999999998</v>
      </c>
      <c r="W64" s="82">
        <v>0.37790699999999999</v>
      </c>
      <c r="X64" s="83">
        <v>0.35067600000000004</v>
      </c>
      <c r="Y64" s="127">
        <v>0.347715</v>
      </c>
      <c r="Z64" s="128">
        <v>0.37329400000000001</v>
      </c>
      <c r="AA64" s="128">
        <v>0.16306599999999999</v>
      </c>
      <c r="AB64" s="129">
        <v>0.14862400000000001</v>
      </c>
      <c r="AC64" s="87">
        <v>0.21567599999999998</v>
      </c>
      <c r="AD64" s="87">
        <v>0.19133899999999998</v>
      </c>
      <c r="AE64" s="87">
        <v>0.214612</v>
      </c>
      <c r="AF64" s="87">
        <v>0.33316499999999999</v>
      </c>
      <c r="AG64" s="115"/>
      <c r="AH64" s="81">
        <f t="shared" ref="AH64:AH83" si="48">SUM(E64:H64)</f>
        <v>0.72325400000000006</v>
      </c>
      <c r="AI64" s="82">
        <f t="shared" ref="AI64:AI83" si="49">SUM(I64:L64)</f>
        <v>0.72309299999999999</v>
      </c>
      <c r="AJ64" s="82">
        <f t="shared" ref="AJ64:AJ65" si="50">SUM(M64:P64)</f>
        <v>0.70921000000000001</v>
      </c>
      <c r="AK64" s="82">
        <f t="shared" ref="AK64:AK65" si="51">SUM(Q64:T64)</f>
        <v>0.81708200000000009</v>
      </c>
      <c r="AL64" s="82">
        <f t="shared" ref="AL64:AL65" si="52">SUM(U64:X64)</f>
        <v>1.405192</v>
      </c>
      <c r="AM64" s="83">
        <f>SUM(X64:AA64)</f>
        <v>1.2347509999999999</v>
      </c>
      <c r="AN64" s="400">
        <f>SUM(AC64:AF64)</f>
        <v>0.95479199999999986</v>
      </c>
      <c r="AO64" s="344"/>
    </row>
    <row r="65" spans="1:46" x14ac:dyDescent="0.25">
      <c r="B65" s="21" t="s">
        <v>343</v>
      </c>
      <c r="C65" s="915"/>
      <c r="D65" s="916"/>
      <c r="E65" s="121">
        <v>7.1798229999999998</v>
      </c>
      <c r="F65" s="122">
        <v>5.7355460000000003</v>
      </c>
      <c r="G65" s="122">
        <v>10.113911000000002</v>
      </c>
      <c r="H65" s="123">
        <v>6.9760220000000004</v>
      </c>
      <c r="I65" s="121">
        <v>8.5027849999999994</v>
      </c>
      <c r="J65" s="87">
        <v>8.199071</v>
      </c>
      <c r="K65" s="87">
        <v>9.3933049999999998</v>
      </c>
      <c r="L65" s="88">
        <v>10.194863999999999</v>
      </c>
      <c r="M65" s="86">
        <v>7.3185060000000002</v>
      </c>
      <c r="N65" s="87">
        <v>8.2197259999999996</v>
      </c>
      <c r="O65" s="87">
        <v>11.342248</v>
      </c>
      <c r="P65" s="88">
        <v>8.1389139999999998</v>
      </c>
      <c r="Q65" s="86">
        <v>7.3354809999999997</v>
      </c>
      <c r="R65" s="87">
        <v>9.0122150000000012</v>
      </c>
      <c r="S65" s="89">
        <v>13.979652999999999</v>
      </c>
      <c r="T65" s="90">
        <v>11.213501000000001</v>
      </c>
      <c r="U65" s="86">
        <v>10.195287</v>
      </c>
      <c r="V65" s="87">
        <v>10.081845</v>
      </c>
      <c r="W65" s="87">
        <v>13.620499000000001</v>
      </c>
      <c r="X65" s="88">
        <v>10.785468</v>
      </c>
      <c r="Y65" s="121">
        <v>10.051168000000001</v>
      </c>
      <c r="Z65" s="122">
        <v>11.327023000000001</v>
      </c>
      <c r="AA65" s="122">
        <v>14.694905</v>
      </c>
      <c r="AB65" s="123">
        <v>9.3497249999999994</v>
      </c>
      <c r="AC65" s="87">
        <v>10.705266999999999</v>
      </c>
      <c r="AD65" s="87">
        <v>11.498481000000002</v>
      </c>
      <c r="AE65" s="87">
        <v>13.459128</v>
      </c>
      <c r="AF65" s="87">
        <v>11.771887999999999</v>
      </c>
      <c r="AG65" s="115"/>
      <c r="AH65" s="86">
        <f t="shared" si="48"/>
        <v>30.005302</v>
      </c>
      <c r="AI65" s="87">
        <f t="shared" si="49"/>
        <v>36.290025</v>
      </c>
      <c r="AJ65" s="87">
        <f t="shared" si="50"/>
        <v>35.019393999999998</v>
      </c>
      <c r="AK65" s="87">
        <f t="shared" si="51"/>
        <v>41.540849999999999</v>
      </c>
      <c r="AL65" s="87">
        <f t="shared" si="52"/>
        <v>44.683099000000006</v>
      </c>
      <c r="AM65" s="88">
        <f>SUM(Y65:AB65)</f>
        <v>45.422820999999999</v>
      </c>
      <c r="AN65" s="400">
        <f t="shared" ref="AN65:AN83" si="53">SUM(AC65:AF65)</f>
        <v>47.434763999999994</v>
      </c>
      <c r="AO65" s="344"/>
    </row>
    <row r="66" spans="1:46" ht="15" customHeight="1" x14ac:dyDescent="0.25">
      <c r="B66" s="22" t="str">
        <f>B64</f>
        <v>Sucre (3)</v>
      </c>
      <c r="C66" s="917" t="s">
        <v>301</v>
      </c>
      <c r="D66" s="918"/>
      <c r="E66" s="124">
        <v>1.9162239999999999</v>
      </c>
      <c r="F66" s="125">
        <v>1.5750870000000001</v>
      </c>
      <c r="G66" s="125">
        <v>1.653392</v>
      </c>
      <c r="H66" s="126">
        <v>2.2962180000000001</v>
      </c>
      <c r="I66" s="124">
        <v>2.3585739999999999</v>
      </c>
      <c r="J66" s="92">
        <v>1.815013</v>
      </c>
      <c r="K66" s="92">
        <v>1.460882</v>
      </c>
      <c r="L66" s="93">
        <v>3.4215689999999999</v>
      </c>
      <c r="M66" s="91">
        <v>2.2213749999999997</v>
      </c>
      <c r="N66" s="92">
        <v>1.661797</v>
      </c>
      <c r="O66" s="92">
        <v>1.7692110000000001</v>
      </c>
      <c r="P66" s="93">
        <v>3.096238</v>
      </c>
      <c r="Q66" s="91">
        <v>2.2735799999999999</v>
      </c>
      <c r="R66" s="92">
        <v>1.690434</v>
      </c>
      <c r="S66" s="94">
        <v>2.313796</v>
      </c>
      <c r="T66" s="95">
        <v>3.8490790000000001</v>
      </c>
      <c r="U66" s="91">
        <v>2.614395</v>
      </c>
      <c r="V66" s="92">
        <v>2.6950240000000001</v>
      </c>
      <c r="W66" s="92">
        <v>2.2731189999999999</v>
      </c>
      <c r="X66" s="126">
        <v>2.4242590000000002</v>
      </c>
      <c r="Y66" s="124">
        <v>3.60717</v>
      </c>
      <c r="Z66" s="125">
        <v>2.5307750000000002</v>
      </c>
      <c r="AA66" s="125">
        <v>3.1677649999999997</v>
      </c>
      <c r="AB66" s="126">
        <v>5.145391</v>
      </c>
      <c r="AC66" s="92">
        <v>2.6657659999999996</v>
      </c>
      <c r="AD66" s="92">
        <v>4.1343930000000002</v>
      </c>
      <c r="AE66" s="92">
        <v>3.6058560000000002</v>
      </c>
      <c r="AF66" s="92">
        <v>5.2719719999999999</v>
      </c>
      <c r="AG66" s="115"/>
      <c r="AH66" s="91">
        <f t="shared" si="48"/>
        <v>7.4409209999999995</v>
      </c>
      <c r="AI66" s="92">
        <f t="shared" si="49"/>
        <v>9.0560379999999991</v>
      </c>
      <c r="AJ66" s="92">
        <f t="shared" ref="AJ66:AJ83" si="54">SUM(M66:P66)</f>
        <v>8.748621</v>
      </c>
      <c r="AK66" s="92">
        <f t="shared" ref="AK66:AK83" si="55">SUM(Q66:T66)</f>
        <v>10.126889</v>
      </c>
      <c r="AL66" s="92">
        <f t="shared" ref="AL66:AL83" si="56">SUM(U66:X66)</f>
        <v>10.006796999999999</v>
      </c>
      <c r="AM66" s="92">
        <f t="shared" ref="AM66:AM83" si="57">SUM(Y66:AB66)</f>
        <v>14.451101</v>
      </c>
      <c r="AN66" s="401">
        <f t="shared" si="53"/>
        <v>15.677987</v>
      </c>
      <c r="AO66" s="392"/>
    </row>
    <row r="67" spans="1:46" ht="15.75" thickBot="1" x14ac:dyDescent="0.3">
      <c r="B67" s="22" t="str">
        <f t="shared" ref="B67:B83" si="58">B65</f>
        <v>Produits sucrés (4)</v>
      </c>
      <c r="C67" s="921"/>
      <c r="D67" s="922"/>
      <c r="E67" s="124">
        <v>0.63470899999999997</v>
      </c>
      <c r="F67" s="125">
        <v>0.70335099999999995</v>
      </c>
      <c r="G67" s="125">
        <v>0.75922900000000004</v>
      </c>
      <c r="H67" s="126">
        <v>0.61893799999999999</v>
      </c>
      <c r="I67" s="124">
        <v>0.64246000000000003</v>
      </c>
      <c r="J67" s="92">
        <v>1.0293619999999999</v>
      </c>
      <c r="K67" s="92">
        <v>1.257104</v>
      </c>
      <c r="L67" s="93">
        <v>0.69908599999999999</v>
      </c>
      <c r="M67" s="91">
        <v>0.94364000000000003</v>
      </c>
      <c r="N67" s="92">
        <v>1.084104</v>
      </c>
      <c r="O67" s="92">
        <v>0.9043230000000001</v>
      </c>
      <c r="P67" s="93">
        <v>1.082954</v>
      </c>
      <c r="Q67" s="91">
        <v>1.5930770000000001</v>
      </c>
      <c r="R67" s="92">
        <v>1.33351</v>
      </c>
      <c r="S67" s="94">
        <v>1.4557289999999998</v>
      </c>
      <c r="T67" s="95">
        <v>1.174283</v>
      </c>
      <c r="U67" s="91">
        <v>4.3003130000000001</v>
      </c>
      <c r="V67" s="92">
        <v>2.8579949999999998</v>
      </c>
      <c r="W67" s="92">
        <v>2.1908080000000001</v>
      </c>
      <c r="X67" s="126">
        <v>4.5357659999999997</v>
      </c>
      <c r="Y67" s="124">
        <v>3.3444350000000003</v>
      </c>
      <c r="Z67" s="125">
        <v>3.8433820000000001</v>
      </c>
      <c r="AA67" s="125">
        <v>2.6544099999999999</v>
      </c>
      <c r="AB67" s="126">
        <v>3.494167</v>
      </c>
      <c r="AC67" s="92">
        <v>3.6118030000000001</v>
      </c>
      <c r="AD67" s="92">
        <v>5.0524649999999998</v>
      </c>
      <c r="AE67" s="92">
        <v>3.8381829999999999</v>
      </c>
      <c r="AF67" s="92">
        <v>3.8141319999999999</v>
      </c>
      <c r="AG67" s="115"/>
      <c r="AH67" s="91">
        <f t="shared" si="48"/>
        <v>2.7162269999999999</v>
      </c>
      <c r="AI67" s="92">
        <f t="shared" si="49"/>
        <v>3.6280119999999996</v>
      </c>
      <c r="AJ67" s="92">
        <f t="shared" si="54"/>
        <v>4.0150210000000008</v>
      </c>
      <c r="AK67" s="92">
        <f t="shared" si="55"/>
        <v>5.5565989999999994</v>
      </c>
      <c r="AL67" s="92">
        <f t="shared" si="56"/>
        <v>13.884882000000001</v>
      </c>
      <c r="AM67" s="92">
        <f t="shared" si="57"/>
        <v>13.336394000000002</v>
      </c>
      <c r="AN67" s="401">
        <f t="shared" si="53"/>
        <v>16.316583000000001</v>
      </c>
      <c r="AO67" s="392"/>
    </row>
    <row r="68" spans="1:46" ht="15" customHeight="1" thickBot="1" x14ac:dyDescent="0.3">
      <c r="B68" s="20" t="str">
        <f t="shared" si="58"/>
        <v>Sucre (3)</v>
      </c>
      <c r="C68" s="911" t="s">
        <v>302</v>
      </c>
      <c r="D68" s="912"/>
      <c r="E68" s="127">
        <v>49.518755999999996</v>
      </c>
      <c r="F68" s="128">
        <v>57.792876</v>
      </c>
      <c r="G68" s="128">
        <v>51.081499000000001</v>
      </c>
      <c r="H68" s="129">
        <v>69.457172</v>
      </c>
      <c r="I68" s="127">
        <v>52.005740000000003</v>
      </c>
      <c r="J68" s="82">
        <v>70.99217800000001</v>
      </c>
      <c r="K68" s="82">
        <v>59.792927999999996</v>
      </c>
      <c r="L68" s="83">
        <v>48.983479000000003</v>
      </c>
      <c r="M68" s="81">
        <v>54.795869000000003</v>
      </c>
      <c r="N68" s="82">
        <v>58.947138000000002</v>
      </c>
      <c r="O68" s="82">
        <v>67.658395999999996</v>
      </c>
      <c r="P68" s="83">
        <v>47.230182999999997</v>
      </c>
      <c r="Q68" s="81">
        <v>67.788341000000003</v>
      </c>
      <c r="R68" s="82">
        <v>79.629483999999991</v>
      </c>
      <c r="S68" s="84">
        <v>72.571225999999996</v>
      </c>
      <c r="T68" s="85">
        <v>113.92422699999999</v>
      </c>
      <c r="U68" s="81">
        <v>100.72236599999999</v>
      </c>
      <c r="V68" s="82">
        <v>101.366724</v>
      </c>
      <c r="W68" s="82">
        <v>70.437092000000007</v>
      </c>
      <c r="X68" s="129">
        <v>83.770251000000002</v>
      </c>
      <c r="Y68" s="127">
        <v>56.749366999999999</v>
      </c>
      <c r="Z68" s="128">
        <v>42.929974000000001</v>
      </c>
      <c r="AA68" s="128">
        <v>36.749220999999999</v>
      </c>
      <c r="AB68" s="129">
        <v>46.792646000000005</v>
      </c>
      <c r="AC68" s="82">
        <v>42.517440000000001</v>
      </c>
      <c r="AD68" s="82">
        <v>34.614299000000003</v>
      </c>
      <c r="AE68" s="82">
        <v>39.077079999999995</v>
      </c>
      <c r="AF68" s="82">
        <v>47.149501000000001</v>
      </c>
      <c r="AG68" s="115"/>
      <c r="AH68" s="81">
        <f t="shared" si="48"/>
        <v>227.850303</v>
      </c>
      <c r="AI68" s="82">
        <f t="shared" si="49"/>
        <v>231.77432500000003</v>
      </c>
      <c r="AJ68" s="82">
        <f t="shared" si="54"/>
        <v>228.63158600000003</v>
      </c>
      <c r="AK68" s="82">
        <f t="shared" si="55"/>
        <v>333.91327799999999</v>
      </c>
      <c r="AL68" s="82">
        <f t="shared" si="56"/>
        <v>356.29643299999998</v>
      </c>
      <c r="AM68" s="88">
        <f t="shared" si="57"/>
        <v>183.22120799999999</v>
      </c>
      <c r="AN68" s="400">
        <f t="shared" si="53"/>
        <v>163.35831999999999</v>
      </c>
      <c r="AO68" s="344"/>
    </row>
    <row r="69" spans="1:46" ht="15" customHeight="1" x14ac:dyDescent="0.25">
      <c r="B69" s="21" t="str">
        <f t="shared" si="58"/>
        <v>Produits sucrés (4)</v>
      </c>
      <c r="C69" s="915"/>
      <c r="D69" s="916"/>
      <c r="E69" s="121">
        <v>199.40399399999998</v>
      </c>
      <c r="F69" s="122">
        <v>207.98177199999998</v>
      </c>
      <c r="G69" s="122">
        <v>241.89891899999998</v>
      </c>
      <c r="H69" s="123">
        <v>250.00160800000003</v>
      </c>
      <c r="I69" s="121">
        <v>197.09909399999998</v>
      </c>
      <c r="J69" s="87">
        <v>210.17159899999999</v>
      </c>
      <c r="K69" s="87">
        <v>217.08018899999999</v>
      </c>
      <c r="L69" s="88">
        <v>253.38546300000002</v>
      </c>
      <c r="M69" s="86">
        <v>214.03494999999998</v>
      </c>
      <c r="N69" s="87">
        <v>217.28646700000002</v>
      </c>
      <c r="O69" s="87">
        <v>237.87435400000001</v>
      </c>
      <c r="P69" s="88">
        <v>243.331031</v>
      </c>
      <c r="Q69" s="86">
        <v>233.03200000000001</v>
      </c>
      <c r="R69" s="87">
        <v>258.89532199999996</v>
      </c>
      <c r="S69" s="89">
        <v>252.55353300000002</v>
      </c>
      <c r="T69" s="90">
        <v>288.487077</v>
      </c>
      <c r="U69" s="86">
        <v>222.018337</v>
      </c>
      <c r="V69" s="87">
        <v>214.64300300000002</v>
      </c>
      <c r="W69" s="87">
        <v>250.50170600000001</v>
      </c>
      <c r="X69" s="123">
        <v>271.566281</v>
      </c>
      <c r="Y69" s="121">
        <v>231.88015799999999</v>
      </c>
      <c r="Z69" s="122">
        <v>247.13458499999999</v>
      </c>
      <c r="AA69" s="122">
        <v>255.37165099999999</v>
      </c>
      <c r="AB69" s="123">
        <v>257.90260699999999</v>
      </c>
      <c r="AC69" s="87">
        <v>213.01025800000002</v>
      </c>
      <c r="AD69" s="87">
        <v>196.60565400000002</v>
      </c>
      <c r="AE69" s="87">
        <v>246.90826200000001</v>
      </c>
      <c r="AF69" s="87">
        <v>276.649945</v>
      </c>
      <c r="AG69" s="115"/>
      <c r="AH69" s="86">
        <f t="shared" si="48"/>
        <v>899.286293</v>
      </c>
      <c r="AI69" s="87">
        <f t="shared" si="49"/>
        <v>877.73634500000003</v>
      </c>
      <c r="AJ69" s="87">
        <f t="shared" si="54"/>
        <v>912.52680200000009</v>
      </c>
      <c r="AK69" s="87">
        <f t="shared" si="55"/>
        <v>1032.967932</v>
      </c>
      <c r="AL69" s="87">
        <f t="shared" si="56"/>
        <v>958.72932700000001</v>
      </c>
      <c r="AM69" s="88">
        <f t="shared" si="57"/>
        <v>992.28900099999987</v>
      </c>
      <c r="AN69" s="400">
        <f t="shared" si="53"/>
        <v>933.17411900000002</v>
      </c>
      <c r="AO69" s="344"/>
    </row>
    <row r="70" spans="1:46" ht="15" customHeight="1" x14ac:dyDescent="0.25">
      <c r="B70" s="22" t="str">
        <f t="shared" si="58"/>
        <v>Sucre (3)</v>
      </c>
      <c r="C70" s="917" t="s">
        <v>303</v>
      </c>
      <c r="D70" s="918"/>
      <c r="E70" s="124">
        <v>38.826526000000001</v>
      </c>
      <c r="F70" s="125">
        <v>8.3542050000000003</v>
      </c>
      <c r="G70" s="125">
        <v>18.989374999999999</v>
      </c>
      <c r="H70" s="126">
        <v>20.772154</v>
      </c>
      <c r="I70" s="124">
        <v>8.4147940000000006</v>
      </c>
      <c r="J70" s="92">
        <v>21.730004999999998</v>
      </c>
      <c r="K70" s="92">
        <v>19.085217</v>
      </c>
      <c r="L70" s="93">
        <v>11.409991000000002</v>
      </c>
      <c r="M70" s="91">
        <v>13.293575000000001</v>
      </c>
      <c r="N70" s="92">
        <v>14.821764000000002</v>
      </c>
      <c r="O70" s="92">
        <v>17.000045</v>
      </c>
      <c r="P70" s="93">
        <v>16.769911</v>
      </c>
      <c r="Q70" s="91">
        <v>13.965584</v>
      </c>
      <c r="R70" s="92">
        <v>16.165984000000002</v>
      </c>
      <c r="S70" s="94">
        <v>16.457387000000001</v>
      </c>
      <c r="T70" s="95">
        <v>18.39678</v>
      </c>
      <c r="U70" s="91">
        <v>16.310998999999999</v>
      </c>
      <c r="V70" s="92">
        <v>16.497325</v>
      </c>
      <c r="W70" s="92">
        <v>14.245348999999999</v>
      </c>
      <c r="X70" s="126">
        <v>15.747928999999999</v>
      </c>
      <c r="Y70" s="124">
        <v>13.934145000000001</v>
      </c>
      <c r="Z70" s="125">
        <v>19.821590999999998</v>
      </c>
      <c r="AA70" s="125">
        <v>18.065283000000001</v>
      </c>
      <c r="AB70" s="126">
        <v>17.431455</v>
      </c>
      <c r="AC70" s="92">
        <v>13.481466000000001</v>
      </c>
      <c r="AD70" s="92">
        <v>17.570754999999998</v>
      </c>
      <c r="AE70" s="92">
        <v>16.347027000000001</v>
      </c>
      <c r="AF70" s="92">
        <v>18.801805000000002</v>
      </c>
      <c r="AG70" s="115"/>
      <c r="AH70" s="91">
        <f t="shared" si="48"/>
        <v>86.942260000000005</v>
      </c>
      <c r="AI70" s="92">
        <f t="shared" si="49"/>
        <v>60.640006999999997</v>
      </c>
      <c r="AJ70" s="92">
        <f t="shared" si="54"/>
        <v>61.885295000000006</v>
      </c>
      <c r="AK70" s="92">
        <f t="shared" si="55"/>
        <v>64.985735000000005</v>
      </c>
      <c r="AL70" s="92">
        <f t="shared" si="56"/>
        <v>62.801601999999995</v>
      </c>
      <c r="AM70" s="92">
        <f t="shared" si="57"/>
        <v>69.252474000000007</v>
      </c>
      <c r="AN70" s="401">
        <f t="shared" si="53"/>
        <v>66.201053000000002</v>
      </c>
      <c r="AO70" s="392"/>
      <c r="AP70" s="120"/>
      <c r="AQ70" s="120"/>
      <c r="AR70" s="120"/>
      <c r="AT70" s="119"/>
    </row>
    <row r="71" spans="1:46" ht="15.75" thickBot="1" x14ac:dyDescent="0.3">
      <c r="B71" s="22" t="str">
        <f t="shared" si="58"/>
        <v>Produits sucrés (4)</v>
      </c>
      <c r="C71" s="921"/>
      <c r="D71" s="922"/>
      <c r="E71" s="124">
        <v>56.668648000000005</v>
      </c>
      <c r="F71" s="125">
        <v>54.967467999999997</v>
      </c>
      <c r="G71" s="125">
        <v>75.365766000000008</v>
      </c>
      <c r="H71" s="126">
        <v>83.691564999999997</v>
      </c>
      <c r="I71" s="124">
        <v>87.563034999999999</v>
      </c>
      <c r="J71" s="92">
        <v>69.893575999999996</v>
      </c>
      <c r="K71" s="92">
        <v>81.441617000000008</v>
      </c>
      <c r="L71" s="93">
        <v>81.996937000000003</v>
      </c>
      <c r="M71" s="91">
        <v>89.177873000000005</v>
      </c>
      <c r="N71" s="92">
        <v>87.701641999999993</v>
      </c>
      <c r="O71" s="92">
        <v>99.214836999999989</v>
      </c>
      <c r="P71" s="93">
        <v>92.217483999999999</v>
      </c>
      <c r="Q71" s="91">
        <v>95.779442000000003</v>
      </c>
      <c r="R71" s="92">
        <v>83.065654999999992</v>
      </c>
      <c r="S71" s="94">
        <v>94.610900000000001</v>
      </c>
      <c r="T71" s="95">
        <v>100.226596</v>
      </c>
      <c r="U71" s="91">
        <v>96.042579000000003</v>
      </c>
      <c r="V71" s="92">
        <v>96.314050000000009</v>
      </c>
      <c r="W71" s="92">
        <v>95.068676000000011</v>
      </c>
      <c r="X71" s="126">
        <v>98.086094000000003</v>
      </c>
      <c r="Y71" s="124">
        <v>93.681816999999995</v>
      </c>
      <c r="Z71" s="125">
        <v>89.135537999999997</v>
      </c>
      <c r="AA71" s="125">
        <v>101.750232</v>
      </c>
      <c r="AB71" s="126">
        <v>98.136910999999998</v>
      </c>
      <c r="AC71" s="92">
        <v>95.000975000000011</v>
      </c>
      <c r="AD71" s="92">
        <v>81.879035000000002</v>
      </c>
      <c r="AE71" s="92">
        <v>95.677835999999999</v>
      </c>
      <c r="AF71" s="92">
        <v>102.37312</v>
      </c>
      <c r="AG71" s="115"/>
      <c r="AH71" s="91">
        <f t="shared" si="48"/>
        <v>270.69344699999999</v>
      </c>
      <c r="AI71" s="92">
        <f t="shared" si="49"/>
        <v>320.89516500000002</v>
      </c>
      <c r="AJ71" s="92">
        <f t="shared" si="54"/>
        <v>368.31183599999997</v>
      </c>
      <c r="AK71" s="92">
        <f t="shared" si="55"/>
        <v>373.682593</v>
      </c>
      <c r="AL71" s="92">
        <f t="shared" si="56"/>
        <v>385.51139899999998</v>
      </c>
      <c r="AM71" s="92">
        <f t="shared" si="57"/>
        <v>382.704498</v>
      </c>
      <c r="AN71" s="401">
        <f t="shared" si="53"/>
        <v>374.93096600000001</v>
      </c>
      <c r="AO71" s="392"/>
    </row>
    <row r="72" spans="1:46" ht="15" customHeight="1" thickBot="1" x14ac:dyDescent="0.3">
      <c r="B72" s="20" t="str">
        <f t="shared" si="58"/>
        <v>Sucre (3)</v>
      </c>
      <c r="C72" s="911" t="s">
        <v>304</v>
      </c>
      <c r="D72" s="912"/>
      <c r="E72" s="127">
        <v>307.33800799999995</v>
      </c>
      <c r="F72" s="128">
        <v>248.57209399999999</v>
      </c>
      <c r="G72" s="128">
        <v>223.15879799999999</v>
      </c>
      <c r="H72" s="129">
        <v>304.50311900000003</v>
      </c>
      <c r="I72" s="127">
        <v>265.76364999999998</v>
      </c>
      <c r="J72" s="82">
        <v>283.67053799999996</v>
      </c>
      <c r="K72" s="82">
        <v>260.01535100000001</v>
      </c>
      <c r="L72" s="83">
        <v>280.46916499999998</v>
      </c>
      <c r="M72" s="81">
        <v>240.38923600000001</v>
      </c>
      <c r="N72" s="82">
        <v>263.038636</v>
      </c>
      <c r="O72" s="82">
        <v>270.70023600000002</v>
      </c>
      <c r="P72" s="83">
        <v>286.04401099999995</v>
      </c>
      <c r="Q72" s="81">
        <v>276.87483600000002</v>
      </c>
      <c r="R72" s="82">
        <v>306.163926</v>
      </c>
      <c r="S72" s="84">
        <v>293.63715200000001</v>
      </c>
      <c r="T72" s="85">
        <v>415.43725499999999</v>
      </c>
      <c r="U72" s="81">
        <v>345.30699000000004</v>
      </c>
      <c r="V72" s="82">
        <v>318.75358599999998</v>
      </c>
      <c r="W72" s="82">
        <v>285.11442399999999</v>
      </c>
      <c r="X72" s="83">
        <v>317.66192899999999</v>
      </c>
      <c r="Y72" s="127">
        <v>252.837898</v>
      </c>
      <c r="Z72" s="128">
        <v>229.62298999999999</v>
      </c>
      <c r="AA72" s="128">
        <v>224.52009999999999</v>
      </c>
      <c r="AB72" s="129">
        <v>254.819953</v>
      </c>
      <c r="AC72" s="82">
        <v>271.169374</v>
      </c>
      <c r="AD72" s="82">
        <v>230.35118300000002</v>
      </c>
      <c r="AE72" s="82">
        <v>250.48808399999999</v>
      </c>
      <c r="AF72" s="82">
        <v>243.76754</v>
      </c>
      <c r="AG72" s="115"/>
      <c r="AH72" s="81">
        <f t="shared" si="48"/>
        <v>1083.572019</v>
      </c>
      <c r="AI72" s="82">
        <f t="shared" si="49"/>
        <v>1089.9187039999999</v>
      </c>
      <c r="AJ72" s="82">
        <f t="shared" ref="AJ72:AJ75" si="59">SUM(M72:P72)</f>
        <v>1060.1721189999998</v>
      </c>
      <c r="AK72" s="82">
        <f t="shared" ref="AK72:AK75" si="60">SUM(Q72:T72)</f>
        <v>1292.113169</v>
      </c>
      <c r="AL72" s="82">
        <f t="shared" ref="AL72:AL75" si="61">SUM(U72:X72)</f>
        <v>1266.8369290000001</v>
      </c>
      <c r="AM72" s="88">
        <f t="shared" si="57"/>
        <v>961.80094099999997</v>
      </c>
      <c r="AN72" s="400">
        <f t="shared" si="53"/>
        <v>995.77618099999995</v>
      </c>
      <c r="AO72" s="344"/>
    </row>
    <row r="73" spans="1:46" ht="15" customHeight="1" x14ac:dyDescent="0.25">
      <c r="B73" s="21" t="str">
        <f t="shared" si="58"/>
        <v>Produits sucrés (4)</v>
      </c>
      <c r="C73" s="915"/>
      <c r="D73" s="916"/>
      <c r="E73" s="121">
        <v>679.51986799999997</v>
      </c>
      <c r="F73" s="122">
        <v>640.99766499999998</v>
      </c>
      <c r="G73" s="122">
        <v>702.41887900000006</v>
      </c>
      <c r="H73" s="123">
        <v>741.99983799999995</v>
      </c>
      <c r="I73" s="121">
        <v>658.54735899999991</v>
      </c>
      <c r="J73" s="87">
        <v>647.18736799999999</v>
      </c>
      <c r="K73" s="87">
        <v>688.93463599999995</v>
      </c>
      <c r="L73" s="88">
        <v>757.99583099999995</v>
      </c>
      <c r="M73" s="86">
        <v>708.56045900000004</v>
      </c>
      <c r="N73" s="87">
        <v>686.29603499999996</v>
      </c>
      <c r="O73" s="87">
        <v>721.975326</v>
      </c>
      <c r="P73" s="88">
        <v>742.36145799999997</v>
      </c>
      <c r="Q73" s="86">
        <v>735.91532499999994</v>
      </c>
      <c r="R73" s="87">
        <v>716.4483009999999</v>
      </c>
      <c r="S73" s="89">
        <v>728.39024300000005</v>
      </c>
      <c r="T73" s="90">
        <v>791.31907100000001</v>
      </c>
      <c r="U73" s="86">
        <v>696.3333439999999</v>
      </c>
      <c r="V73" s="87">
        <v>678.98345999999992</v>
      </c>
      <c r="W73" s="87">
        <v>722.19771100000003</v>
      </c>
      <c r="X73" s="88">
        <v>769.5083259999999</v>
      </c>
      <c r="Y73" s="121">
        <v>703.71995500000003</v>
      </c>
      <c r="Z73" s="122">
        <v>662.30672600000003</v>
      </c>
      <c r="AA73" s="122">
        <v>697.27406900000005</v>
      </c>
      <c r="AB73" s="123">
        <v>724.26782099999991</v>
      </c>
      <c r="AC73" s="87">
        <v>696.67859300000009</v>
      </c>
      <c r="AD73" s="87">
        <v>609.95662700000003</v>
      </c>
      <c r="AE73" s="87">
        <v>717.67697700000008</v>
      </c>
      <c r="AF73" s="87">
        <v>769.86128600000006</v>
      </c>
      <c r="AG73" s="115"/>
      <c r="AH73" s="86">
        <f t="shared" si="48"/>
        <v>2764.9362499999997</v>
      </c>
      <c r="AI73" s="87">
        <f t="shared" si="49"/>
        <v>2752.6651940000002</v>
      </c>
      <c r="AJ73" s="87">
        <f t="shared" si="59"/>
        <v>2859.1932780000002</v>
      </c>
      <c r="AK73" s="87">
        <f t="shared" si="60"/>
        <v>2972.07294</v>
      </c>
      <c r="AL73" s="87">
        <f t="shared" si="61"/>
        <v>2867.022841</v>
      </c>
      <c r="AM73" s="88">
        <f t="shared" si="57"/>
        <v>2787.5685710000002</v>
      </c>
      <c r="AN73" s="400">
        <f t="shared" si="53"/>
        <v>2794.1734830000005</v>
      </c>
      <c r="AO73" s="344"/>
    </row>
    <row r="74" spans="1:46" ht="15" customHeight="1" x14ac:dyDescent="0.25">
      <c r="B74" s="22" t="str">
        <f t="shared" si="58"/>
        <v>Sucre (3)</v>
      </c>
      <c r="C74" s="917" t="s">
        <v>305</v>
      </c>
      <c r="D74" s="918"/>
      <c r="E74" s="124">
        <v>97.494951999999998</v>
      </c>
      <c r="F74" s="125">
        <v>72.342646000000002</v>
      </c>
      <c r="G74" s="125">
        <v>91.236403999999993</v>
      </c>
      <c r="H74" s="126">
        <v>76.478296999999998</v>
      </c>
      <c r="I74" s="124">
        <v>61.350919000000005</v>
      </c>
      <c r="J74" s="92">
        <v>75.792276000000001</v>
      </c>
      <c r="K74" s="92">
        <v>74.923472000000004</v>
      </c>
      <c r="L74" s="93">
        <v>63.377527000000001</v>
      </c>
      <c r="M74" s="91">
        <v>69.524484000000001</v>
      </c>
      <c r="N74" s="92">
        <v>77.303161000000003</v>
      </c>
      <c r="O74" s="92">
        <v>80.786010000000005</v>
      </c>
      <c r="P74" s="93">
        <v>79.406707999999995</v>
      </c>
      <c r="Q74" s="91">
        <v>71.699363000000005</v>
      </c>
      <c r="R74" s="92">
        <v>74.136505</v>
      </c>
      <c r="S74" s="94">
        <v>77.673093999999992</v>
      </c>
      <c r="T74" s="95">
        <v>75.385851000000002</v>
      </c>
      <c r="U74" s="91">
        <v>74.202701000000005</v>
      </c>
      <c r="V74" s="92">
        <v>71.145883999999995</v>
      </c>
      <c r="W74" s="92">
        <v>64.98222100000001</v>
      </c>
      <c r="X74" s="93">
        <v>64.651646</v>
      </c>
      <c r="Y74" s="124">
        <v>62.763643999999999</v>
      </c>
      <c r="Z74" s="125">
        <v>71.574312999999989</v>
      </c>
      <c r="AA74" s="125">
        <v>66.644562000000008</v>
      </c>
      <c r="AB74" s="126">
        <v>65.418833000000006</v>
      </c>
      <c r="AC74" s="92">
        <v>64.050916999999998</v>
      </c>
      <c r="AD74" s="92">
        <v>69.480391999999995</v>
      </c>
      <c r="AE74" s="92">
        <v>74.967765</v>
      </c>
      <c r="AF74" s="92">
        <v>79.451853</v>
      </c>
      <c r="AG74" s="115"/>
      <c r="AH74" s="91">
        <f t="shared" si="48"/>
        <v>337.552299</v>
      </c>
      <c r="AI74" s="92">
        <f t="shared" si="49"/>
        <v>275.44419399999998</v>
      </c>
      <c r="AJ74" s="92">
        <f t="shared" si="59"/>
        <v>307.02036300000003</v>
      </c>
      <c r="AK74" s="92">
        <f t="shared" si="60"/>
        <v>298.894813</v>
      </c>
      <c r="AL74" s="92">
        <f t="shared" si="61"/>
        <v>274.98245200000002</v>
      </c>
      <c r="AM74" s="92">
        <f t="shared" si="57"/>
        <v>266.40135199999997</v>
      </c>
      <c r="AN74" s="401">
        <f t="shared" si="53"/>
        <v>287.95092699999998</v>
      </c>
      <c r="AO74" s="392"/>
      <c r="AP74" s="120"/>
      <c r="AQ74" s="120"/>
      <c r="AR74" s="120"/>
      <c r="AT74" s="119"/>
    </row>
    <row r="75" spans="1:46" ht="15.75" thickBot="1" x14ac:dyDescent="0.3">
      <c r="B75" s="22" t="str">
        <f t="shared" si="58"/>
        <v>Produits sucrés (4)</v>
      </c>
      <c r="C75" s="921"/>
      <c r="D75" s="922"/>
      <c r="E75" s="124">
        <v>668.40390200000002</v>
      </c>
      <c r="F75" s="125">
        <v>567.57535900000005</v>
      </c>
      <c r="G75" s="125">
        <v>689.12550699999997</v>
      </c>
      <c r="H75" s="126">
        <v>781.93633199999999</v>
      </c>
      <c r="I75" s="124">
        <v>736.33691799999997</v>
      </c>
      <c r="J75" s="92">
        <v>625.59670100000005</v>
      </c>
      <c r="K75" s="92">
        <v>741.14086599999996</v>
      </c>
      <c r="L75" s="93">
        <v>887.48830599999997</v>
      </c>
      <c r="M75" s="91">
        <v>780.20284199999992</v>
      </c>
      <c r="N75" s="92">
        <v>679.39755500000001</v>
      </c>
      <c r="O75" s="92">
        <v>825.34978199999989</v>
      </c>
      <c r="P75" s="93">
        <v>871.67192099999988</v>
      </c>
      <c r="Q75" s="91">
        <v>828.11060600000008</v>
      </c>
      <c r="R75" s="92">
        <v>702.915077</v>
      </c>
      <c r="S75" s="94">
        <v>825.92812200000003</v>
      </c>
      <c r="T75" s="95">
        <v>890.99283100000002</v>
      </c>
      <c r="U75" s="91">
        <v>831.23315500000012</v>
      </c>
      <c r="V75" s="92">
        <v>712.14913799999999</v>
      </c>
      <c r="W75" s="92">
        <v>876.64025100000003</v>
      </c>
      <c r="X75" s="93">
        <v>873.12901600000009</v>
      </c>
      <c r="Y75" s="124">
        <v>839.60009500000001</v>
      </c>
      <c r="Z75" s="125">
        <v>734.88438799999994</v>
      </c>
      <c r="AA75" s="125">
        <v>860.95454999999993</v>
      </c>
      <c r="AB75" s="126">
        <v>908.64736100000005</v>
      </c>
      <c r="AC75" s="92">
        <v>822.60678299999995</v>
      </c>
      <c r="AD75" s="92">
        <v>681.12127200000009</v>
      </c>
      <c r="AE75" s="92">
        <v>897.31237900000008</v>
      </c>
      <c r="AF75" s="92">
        <v>916.2201950000001</v>
      </c>
      <c r="AG75" s="115"/>
      <c r="AH75" s="91">
        <f t="shared" si="48"/>
        <v>2707.0410999999999</v>
      </c>
      <c r="AI75" s="92">
        <f t="shared" si="49"/>
        <v>2990.5627910000003</v>
      </c>
      <c r="AJ75" s="92">
        <f t="shared" si="59"/>
        <v>3156.6220999999996</v>
      </c>
      <c r="AK75" s="92">
        <f t="shared" si="60"/>
        <v>3247.9466360000001</v>
      </c>
      <c r="AL75" s="92">
        <f t="shared" si="61"/>
        <v>3293.1515600000002</v>
      </c>
      <c r="AM75" s="92">
        <f t="shared" si="57"/>
        <v>3344.0863939999999</v>
      </c>
      <c r="AN75" s="401">
        <f t="shared" si="53"/>
        <v>3317.2606290000003</v>
      </c>
      <c r="AO75" s="392"/>
    </row>
    <row r="76" spans="1:46" s="115" customFormat="1" ht="15" customHeight="1" thickBot="1" x14ac:dyDescent="0.3">
      <c r="A76" s="31"/>
      <c r="B76" s="112" t="str">
        <f t="shared" si="58"/>
        <v>Sucre (3)</v>
      </c>
      <c r="C76" s="911" t="s">
        <v>273</v>
      </c>
      <c r="D76" s="912"/>
      <c r="E76" s="127">
        <v>0.53376699999999999</v>
      </c>
      <c r="F76" s="128">
        <v>0.75135000000000007</v>
      </c>
      <c r="G76" s="128">
        <v>0.707121</v>
      </c>
      <c r="H76" s="129">
        <v>0.94399999999999995</v>
      </c>
      <c r="I76" s="127">
        <v>0.55667500000000003</v>
      </c>
      <c r="J76" s="82">
        <v>0.53101599999999993</v>
      </c>
      <c r="K76" s="82">
        <v>0.66300099999999995</v>
      </c>
      <c r="L76" s="83">
        <v>0.64666800000000002</v>
      </c>
      <c r="M76" s="81">
        <v>0.60264800000000007</v>
      </c>
      <c r="N76" s="82">
        <v>0.59382000000000001</v>
      </c>
      <c r="O76" s="82">
        <v>1.4019680000000001</v>
      </c>
      <c r="P76" s="83">
        <v>1.087674</v>
      </c>
      <c r="Q76" s="81">
        <v>1.122452</v>
      </c>
      <c r="R76" s="82">
        <v>1.2400329999999999</v>
      </c>
      <c r="S76" s="84">
        <v>1.1633249999999999</v>
      </c>
      <c r="T76" s="85">
        <v>0.9978260000000001</v>
      </c>
      <c r="U76" s="81">
        <v>1.164431</v>
      </c>
      <c r="V76" s="82">
        <v>1.3558239999999999</v>
      </c>
      <c r="W76" s="82">
        <v>1.2088000000000001</v>
      </c>
      <c r="X76" s="83">
        <v>1.104312</v>
      </c>
      <c r="Y76" s="127">
        <v>1.3285400000000001</v>
      </c>
      <c r="Z76" s="128">
        <v>1.4395</v>
      </c>
      <c r="AA76" s="128">
        <v>1.1870240000000001</v>
      </c>
      <c r="AB76" s="129">
        <v>1.0008429999999999</v>
      </c>
      <c r="AC76" s="127">
        <v>1.3469879999999999</v>
      </c>
      <c r="AD76" s="82">
        <v>1.287833</v>
      </c>
      <c r="AE76" s="82">
        <v>0.98662099999999997</v>
      </c>
      <c r="AF76" s="83">
        <v>1.2155100000000001</v>
      </c>
      <c r="AH76" s="81">
        <f t="shared" si="48"/>
        <v>2.9362379999999999</v>
      </c>
      <c r="AI76" s="82">
        <f t="shared" si="49"/>
        <v>2.3973599999999999</v>
      </c>
      <c r="AJ76" s="82">
        <f t="shared" si="54"/>
        <v>3.6861100000000002</v>
      </c>
      <c r="AK76" s="82">
        <f t="shared" si="55"/>
        <v>4.5236359999999998</v>
      </c>
      <c r="AL76" s="82">
        <f t="shared" si="56"/>
        <v>4.833367</v>
      </c>
      <c r="AM76" s="88">
        <f t="shared" si="57"/>
        <v>4.9559069999999998</v>
      </c>
      <c r="AN76" s="400">
        <f t="shared" si="53"/>
        <v>4.8369520000000001</v>
      </c>
      <c r="AO76" s="344"/>
    </row>
    <row r="77" spans="1:46" s="115" customFormat="1" ht="15" customHeight="1" x14ac:dyDescent="0.25">
      <c r="A77" s="31"/>
      <c r="B77" s="109" t="str">
        <f t="shared" si="58"/>
        <v>Produits sucrés (4)</v>
      </c>
      <c r="C77" s="915"/>
      <c r="D77" s="916"/>
      <c r="E77" s="121">
        <v>46.061748000000001</v>
      </c>
      <c r="F77" s="122">
        <v>48.797933</v>
      </c>
      <c r="G77" s="122">
        <v>82.564875999999998</v>
      </c>
      <c r="H77" s="123">
        <v>63.109830000000002</v>
      </c>
      <c r="I77" s="121">
        <v>46.576255000000003</v>
      </c>
      <c r="J77" s="87">
        <v>50.476515999999997</v>
      </c>
      <c r="K77" s="87">
        <v>87.256074999999996</v>
      </c>
      <c r="L77" s="88">
        <v>65.268088000000006</v>
      </c>
      <c r="M77" s="86">
        <v>53.565870000000004</v>
      </c>
      <c r="N77" s="87">
        <v>57.418731999999999</v>
      </c>
      <c r="O77" s="87">
        <v>101.617406</v>
      </c>
      <c r="P77" s="88">
        <v>68.653396999999998</v>
      </c>
      <c r="Q77" s="86">
        <v>57.793923000000007</v>
      </c>
      <c r="R77" s="87">
        <v>61.104633</v>
      </c>
      <c r="S77" s="89">
        <v>104.001502</v>
      </c>
      <c r="T77" s="90">
        <v>77.484972999999997</v>
      </c>
      <c r="U77" s="86">
        <v>62.877090000000003</v>
      </c>
      <c r="V77" s="87">
        <v>67.728942000000004</v>
      </c>
      <c r="W77" s="87">
        <v>111.43394400000001</v>
      </c>
      <c r="X77" s="88">
        <v>75.018175999999997</v>
      </c>
      <c r="Y77" s="121">
        <v>58.957751000000002</v>
      </c>
      <c r="Z77" s="122">
        <v>69.650516999999994</v>
      </c>
      <c r="AA77" s="122">
        <v>111.80391</v>
      </c>
      <c r="AB77" s="123">
        <v>81.673046999999997</v>
      </c>
      <c r="AC77" s="122">
        <v>64.892277000000007</v>
      </c>
      <c r="AD77" s="87">
        <v>72.483263999999991</v>
      </c>
      <c r="AE77" s="87">
        <v>113.98567399999999</v>
      </c>
      <c r="AF77" s="87">
        <v>88.574549000000005</v>
      </c>
      <c r="AH77" s="86">
        <f t="shared" si="48"/>
        <v>240.53438699999998</v>
      </c>
      <c r="AI77" s="87">
        <f t="shared" si="49"/>
        <v>249.57693400000002</v>
      </c>
      <c r="AJ77" s="87">
        <f t="shared" si="54"/>
        <v>281.255405</v>
      </c>
      <c r="AK77" s="87">
        <f t="shared" si="55"/>
        <v>300.38503100000003</v>
      </c>
      <c r="AL77" s="87">
        <f t="shared" si="56"/>
        <v>317.05815200000001</v>
      </c>
      <c r="AM77" s="88">
        <f t="shared" si="57"/>
        <v>322.08522500000004</v>
      </c>
      <c r="AN77" s="400">
        <f t="shared" si="53"/>
        <v>339.93576400000001</v>
      </c>
      <c r="AO77" s="344"/>
    </row>
    <row r="78" spans="1:46" s="115" customFormat="1" ht="15" customHeight="1" x14ac:dyDescent="0.25">
      <c r="B78" s="110" t="str">
        <f t="shared" si="58"/>
        <v>Sucre (3)</v>
      </c>
      <c r="C78" s="917" t="s">
        <v>274</v>
      </c>
      <c r="D78" s="918"/>
      <c r="E78" s="124">
        <v>7.5159590000000005</v>
      </c>
      <c r="F78" s="125">
        <v>8.7049679999999992</v>
      </c>
      <c r="G78" s="125">
        <v>8.5265719999999998</v>
      </c>
      <c r="H78" s="126">
        <v>10.680866</v>
      </c>
      <c r="I78" s="124">
        <v>7.8453229999999996</v>
      </c>
      <c r="J78" s="92">
        <v>11.943586</v>
      </c>
      <c r="K78" s="92">
        <v>9.5311059999999994</v>
      </c>
      <c r="L78" s="93">
        <v>11.12039</v>
      </c>
      <c r="M78" s="91">
        <v>9.1854410000000009</v>
      </c>
      <c r="N78" s="92">
        <v>13.112024999999999</v>
      </c>
      <c r="O78" s="92">
        <v>12.329526999999999</v>
      </c>
      <c r="P78" s="93">
        <v>12.520176000000001</v>
      </c>
      <c r="Q78" s="91">
        <v>11.252056999999999</v>
      </c>
      <c r="R78" s="92">
        <v>11.083580000000001</v>
      </c>
      <c r="S78" s="94">
        <v>12.558739000000001</v>
      </c>
      <c r="T78" s="95">
        <v>15.096890999999999</v>
      </c>
      <c r="U78" s="91">
        <v>10.430026</v>
      </c>
      <c r="V78" s="92">
        <v>11.194564</v>
      </c>
      <c r="W78" s="92">
        <v>9.1386269999999996</v>
      </c>
      <c r="X78" s="93">
        <v>10.197734000000001</v>
      </c>
      <c r="Y78" s="124">
        <v>14.684445</v>
      </c>
      <c r="Z78" s="125">
        <v>13.222514</v>
      </c>
      <c r="AA78" s="125">
        <v>12.443442000000001</v>
      </c>
      <c r="AB78" s="126">
        <v>15.696332</v>
      </c>
      <c r="AC78" s="125">
        <v>17.027166999999999</v>
      </c>
      <c r="AD78" s="92">
        <v>17.375846999999997</v>
      </c>
      <c r="AE78" s="92">
        <v>15.973789999999999</v>
      </c>
      <c r="AF78" s="92">
        <v>20.525383000000001</v>
      </c>
      <c r="AH78" s="91">
        <f t="shared" si="48"/>
        <v>35.428364999999999</v>
      </c>
      <c r="AI78" s="92">
        <f t="shared" si="49"/>
        <v>40.440404999999998</v>
      </c>
      <c r="AJ78" s="92">
        <f t="shared" si="54"/>
        <v>47.147168999999998</v>
      </c>
      <c r="AK78" s="92">
        <f t="shared" si="55"/>
        <v>49.991267000000001</v>
      </c>
      <c r="AL78" s="92">
        <f t="shared" si="56"/>
        <v>40.960950999999994</v>
      </c>
      <c r="AM78" s="92">
        <f t="shared" si="57"/>
        <v>56.046733000000003</v>
      </c>
      <c r="AN78" s="401">
        <f t="shared" si="53"/>
        <v>70.902186999999998</v>
      </c>
      <c r="AO78" s="344"/>
    </row>
    <row r="79" spans="1:46" s="115" customFormat="1" ht="15.75" thickBot="1" x14ac:dyDescent="0.3">
      <c r="B79" s="110" t="str">
        <f t="shared" si="58"/>
        <v>Produits sucrés (4)</v>
      </c>
      <c r="C79" s="921"/>
      <c r="D79" s="922"/>
      <c r="E79" s="124">
        <v>8.6422430000000006</v>
      </c>
      <c r="F79" s="125">
        <v>9.5050820000000016</v>
      </c>
      <c r="G79" s="125">
        <v>7.6733200000000004</v>
      </c>
      <c r="H79" s="126">
        <v>7.6231399999999994</v>
      </c>
      <c r="I79" s="124">
        <v>8.4353179999999988</v>
      </c>
      <c r="J79" s="92">
        <v>10.132886000000001</v>
      </c>
      <c r="K79" s="92">
        <v>8.9230839999999993</v>
      </c>
      <c r="L79" s="93">
        <v>8.4462539999999997</v>
      </c>
      <c r="M79" s="91">
        <v>9.7356789999999993</v>
      </c>
      <c r="N79" s="92">
        <v>10.844156</v>
      </c>
      <c r="O79" s="92">
        <v>8.4236159999999991</v>
      </c>
      <c r="P79" s="93">
        <v>8.1301330000000007</v>
      </c>
      <c r="Q79" s="91">
        <v>11.171411000000001</v>
      </c>
      <c r="R79" s="92">
        <v>12.633787</v>
      </c>
      <c r="S79" s="94">
        <v>12.491081999999999</v>
      </c>
      <c r="T79" s="95">
        <v>12.791093999999999</v>
      </c>
      <c r="U79" s="91">
        <v>14.681077</v>
      </c>
      <c r="V79" s="92">
        <v>16.020363</v>
      </c>
      <c r="W79" s="92">
        <v>17.608288000000002</v>
      </c>
      <c r="X79" s="93">
        <v>14.718364999999999</v>
      </c>
      <c r="Y79" s="124">
        <v>14.864748000000001</v>
      </c>
      <c r="Z79" s="125">
        <v>17.369889000000001</v>
      </c>
      <c r="AA79" s="125">
        <v>13.290746</v>
      </c>
      <c r="AB79" s="126">
        <v>14.472360999999999</v>
      </c>
      <c r="AC79" s="125">
        <v>14.585616999999999</v>
      </c>
      <c r="AD79" s="92">
        <v>13.675249000000001</v>
      </c>
      <c r="AE79" s="92">
        <v>13.287957</v>
      </c>
      <c r="AF79" s="92">
        <v>19.528701999999999</v>
      </c>
      <c r="AH79" s="91">
        <f t="shared" si="48"/>
        <v>33.443785000000005</v>
      </c>
      <c r="AI79" s="92">
        <f t="shared" si="49"/>
        <v>35.937542000000001</v>
      </c>
      <c r="AJ79" s="92">
        <f t="shared" si="54"/>
        <v>37.133583999999999</v>
      </c>
      <c r="AK79" s="92">
        <f t="shared" si="55"/>
        <v>49.087373999999997</v>
      </c>
      <c r="AL79" s="92">
        <f t="shared" si="56"/>
        <v>63.028092999999998</v>
      </c>
      <c r="AM79" s="92">
        <f t="shared" si="57"/>
        <v>59.997743999999997</v>
      </c>
      <c r="AN79" s="401">
        <f t="shared" si="53"/>
        <v>61.077524999999994</v>
      </c>
      <c r="AO79" s="344"/>
    </row>
    <row r="80" spans="1:46" s="115" customFormat="1" ht="15" customHeight="1" thickBot="1" x14ac:dyDescent="0.3">
      <c r="B80" s="112" t="str">
        <f t="shared" si="58"/>
        <v>Sucre (3)</v>
      </c>
      <c r="C80" s="911" t="s">
        <v>275</v>
      </c>
      <c r="D80" s="912"/>
      <c r="E80" s="127">
        <v>264.59898600000002</v>
      </c>
      <c r="F80" s="128">
        <v>254.279045</v>
      </c>
      <c r="G80" s="128">
        <v>253.670795</v>
      </c>
      <c r="H80" s="129">
        <v>290.91689100000002</v>
      </c>
      <c r="I80" s="127">
        <v>273.73040500000002</v>
      </c>
      <c r="J80" s="82">
        <v>268.09293000000002</v>
      </c>
      <c r="K80" s="82">
        <v>273.23386399999998</v>
      </c>
      <c r="L80" s="83">
        <v>299.355434</v>
      </c>
      <c r="M80" s="81">
        <v>236.725019</v>
      </c>
      <c r="N80" s="82">
        <v>305.55590999999998</v>
      </c>
      <c r="O80" s="82">
        <v>402.750855</v>
      </c>
      <c r="P80" s="83">
        <v>273.20950699999997</v>
      </c>
      <c r="Q80" s="81">
        <v>267.06697099999997</v>
      </c>
      <c r="R80" s="82">
        <v>345.18411399999997</v>
      </c>
      <c r="S80" s="84">
        <v>329.47182900000001</v>
      </c>
      <c r="T80" s="85">
        <v>512.59018800000001</v>
      </c>
      <c r="U80" s="81">
        <v>463.07356099999998</v>
      </c>
      <c r="V80" s="82">
        <v>429.94446800000003</v>
      </c>
      <c r="W80" s="82">
        <v>348.610117</v>
      </c>
      <c r="X80" s="83">
        <v>366.113675</v>
      </c>
      <c r="Y80" s="127">
        <v>301.17836899999998</v>
      </c>
      <c r="Z80" s="128">
        <v>228.06937299999998</v>
      </c>
      <c r="AA80" s="128">
        <v>216.380695</v>
      </c>
      <c r="AB80" s="129">
        <v>238.711073</v>
      </c>
      <c r="AC80" s="128">
        <v>211.34532300000001</v>
      </c>
      <c r="AD80" s="82">
        <v>218.870633</v>
      </c>
      <c r="AE80" s="82">
        <v>215.73290300000002</v>
      </c>
      <c r="AF80" s="82">
        <v>258.74043799999998</v>
      </c>
      <c r="AH80" s="81">
        <f t="shared" si="48"/>
        <v>1063.465717</v>
      </c>
      <c r="AI80" s="82">
        <f t="shared" si="49"/>
        <v>1114.4126330000001</v>
      </c>
      <c r="AJ80" s="82">
        <f t="shared" si="54"/>
        <v>1218.241291</v>
      </c>
      <c r="AK80" s="82">
        <f t="shared" si="55"/>
        <v>1454.3131020000001</v>
      </c>
      <c r="AL80" s="82">
        <f t="shared" si="56"/>
        <v>1607.7418210000001</v>
      </c>
      <c r="AM80" s="88">
        <f t="shared" si="57"/>
        <v>984.33951000000002</v>
      </c>
      <c r="AN80" s="400">
        <f t="shared" si="53"/>
        <v>904.68929700000012</v>
      </c>
      <c r="AO80" s="344"/>
    </row>
    <row r="81" spans="1:41" s="115" customFormat="1" ht="15" customHeight="1" thickBot="1" x14ac:dyDescent="0.3">
      <c r="B81" s="109" t="str">
        <f t="shared" si="58"/>
        <v>Produits sucrés (4)</v>
      </c>
      <c r="C81" s="915"/>
      <c r="D81" s="916"/>
      <c r="E81" s="121">
        <v>2772.7264270000005</v>
      </c>
      <c r="F81" s="122">
        <v>2765.0469760000001</v>
      </c>
      <c r="G81" s="122">
        <v>3143.9309409999996</v>
      </c>
      <c r="H81" s="123">
        <v>3323.2533279999998</v>
      </c>
      <c r="I81" s="121">
        <v>2821.8470659999998</v>
      </c>
      <c r="J81" s="87">
        <v>2865.4246270000003</v>
      </c>
      <c r="K81" s="87">
        <v>3342.5310199999999</v>
      </c>
      <c r="L81" s="88">
        <v>3447.6905889999998</v>
      </c>
      <c r="M81" s="86">
        <v>2944.5831509999998</v>
      </c>
      <c r="N81" s="87">
        <v>3018.9519229999996</v>
      </c>
      <c r="O81" s="87">
        <v>3388.8598750000001</v>
      </c>
      <c r="P81" s="88">
        <v>3619.2813880000003</v>
      </c>
      <c r="Q81" s="86">
        <v>3160.566945</v>
      </c>
      <c r="R81" s="87">
        <v>3131.3767560000001</v>
      </c>
      <c r="S81" s="89">
        <v>3529.2803729999996</v>
      </c>
      <c r="T81" s="90">
        <v>3698.3203100000001</v>
      </c>
      <c r="U81" s="86">
        <v>3142.3732449999998</v>
      </c>
      <c r="V81" s="87">
        <v>3139.4397949999998</v>
      </c>
      <c r="W81" s="87">
        <v>3580.7144120000003</v>
      </c>
      <c r="X81" s="88">
        <v>3804.570776</v>
      </c>
      <c r="Y81" s="121">
        <v>3528.853521</v>
      </c>
      <c r="Z81" s="122">
        <v>3240.2058239999997</v>
      </c>
      <c r="AA81" s="122">
        <v>3843.2891419999996</v>
      </c>
      <c r="AB81" s="123">
        <v>3950.167109</v>
      </c>
      <c r="AC81" s="122">
        <v>3537.3253750000003</v>
      </c>
      <c r="AD81" s="87">
        <v>3144.9557050000003</v>
      </c>
      <c r="AE81" s="87">
        <v>3811.4839650000004</v>
      </c>
      <c r="AF81" s="87">
        <v>4162.5109329999996</v>
      </c>
      <c r="AH81" s="86">
        <f t="shared" si="48"/>
        <v>12004.957672</v>
      </c>
      <c r="AI81" s="87">
        <f t="shared" si="49"/>
        <v>12477.493302000001</v>
      </c>
      <c r="AJ81" s="87">
        <f t="shared" si="54"/>
        <v>12971.676337000001</v>
      </c>
      <c r="AK81" s="87">
        <f t="shared" si="55"/>
        <v>13519.544384000001</v>
      </c>
      <c r="AL81" s="87">
        <f t="shared" si="56"/>
        <v>13667.098227999999</v>
      </c>
      <c r="AM81" s="88">
        <f t="shared" si="57"/>
        <v>14562.515595999999</v>
      </c>
      <c r="AN81" s="400">
        <f t="shared" si="53"/>
        <v>14656.275978</v>
      </c>
      <c r="AO81" s="344"/>
    </row>
    <row r="82" spans="1:41" s="115" customFormat="1" ht="15" customHeight="1" x14ac:dyDescent="0.25">
      <c r="B82" s="116" t="str">
        <f t="shared" si="58"/>
        <v>Sucre (3)</v>
      </c>
      <c r="C82" s="917" t="s">
        <v>276</v>
      </c>
      <c r="D82" s="918"/>
      <c r="E82" s="124">
        <v>481.917531</v>
      </c>
      <c r="F82" s="125">
        <v>396.84110800000002</v>
      </c>
      <c r="G82" s="125">
        <v>503.69450500000005</v>
      </c>
      <c r="H82" s="126">
        <v>340.93763799999999</v>
      </c>
      <c r="I82" s="124">
        <v>301.44823600000001</v>
      </c>
      <c r="J82" s="92">
        <v>323.97513700000002</v>
      </c>
      <c r="K82" s="92">
        <v>463.03694000000002</v>
      </c>
      <c r="L82" s="93">
        <v>324.60343699999999</v>
      </c>
      <c r="M82" s="91">
        <v>327.833687</v>
      </c>
      <c r="N82" s="92">
        <v>457.57604900000001</v>
      </c>
      <c r="O82" s="92">
        <v>503.04315600000001</v>
      </c>
      <c r="P82" s="93">
        <v>338.52373399999999</v>
      </c>
      <c r="Q82" s="91">
        <v>410.07620699999995</v>
      </c>
      <c r="R82" s="92">
        <v>454.39500899999996</v>
      </c>
      <c r="S82" s="94">
        <v>454.38198199999999</v>
      </c>
      <c r="T82" s="95">
        <v>243.735063</v>
      </c>
      <c r="U82" s="91">
        <v>230.60591399999998</v>
      </c>
      <c r="V82" s="92">
        <v>230.82009099999999</v>
      </c>
      <c r="W82" s="92">
        <v>232.968256</v>
      </c>
      <c r="X82" s="93">
        <v>245.17764</v>
      </c>
      <c r="Y82" s="124">
        <v>282.42752899999999</v>
      </c>
      <c r="Z82" s="125">
        <v>352.86521999999997</v>
      </c>
      <c r="AA82" s="125">
        <v>304.82304399999998</v>
      </c>
      <c r="AB82" s="126">
        <v>338.35642799999999</v>
      </c>
      <c r="AC82" s="125">
        <v>300.71276599999999</v>
      </c>
      <c r="AD82" s="92">
        <v>292.17525799999999</v>
      </c>
      <c r="AE82" s="92">
        <v>256.37011000000001</v>
      </c>
      <c r="AF82" s="92">
        <v>240.177234</v>
      </c>
      <c r="AH82" s="91">
        <f t="shared" si="48"/>
        <v>1723.3907819999999</v>
      </c>
      <c r="AI82" s="92">
        <f t="shared" si="49"/>
        <v>1413.06375</v>
      </c>
      <c r="AJ82" s="92">
        <f t="shared" si="54"/>
        <v>1626.9766260000001</v>
      </c>
      <c r="AK82" s="92">
        <f t="shared" si="55"/>
        <v>1562.5882609999999</v>
      </c>
      <c r="AL82" s="92">
        <f t="shared" si="56"/>
        <v>939.57190099999991</v>
      </c>
      <c r="AM82" s="92">
        <f t="shared" si="57"/>
        <v>1278.472221</v>
      </c>
      <c r="AN82" s="401">
        <f t="shared" si="53"/>
        <v>1089.4353679999999</v>
      </c>
      <c r="AO82" s="392"/>
    </row>
    <row r="83" spans="1:41" s="115" customFormat="1" ht="15.75" thickBot="1" x14ac:dyDescent="0.3">
      <c r="B83" s="113" t="str">
        <f t="shared" si="58"/>
        <v>Produits sucrés (4)</v>
      </c>
      <c r="C83" s="921"/>
      <c r="D83" s="922"/>
      <c r="E83" s="130">
        <v>732.59096699999998</v>
      </c>
      <c r="F83" s="131">
        <v>749.02839200000005</v>
      </c>
      <c r="G83" s="131">
        <v>809.67443200000002</v>
      </c>
      <c r="H83" s="132">
        <v>861.69720600000005</v>
      </c>
      <c r="I83" s="130">
        <v>859.25338299999999</v>
      </c>
      <c r="J83" s="97">
        <v>832.20252699999992</v>
      </c>
      <c r="K83" s="97">
        <v>905.37247200000002</v>
      </c>
      <c r="L83" s="98">
        <v>949.06805000000008</v>
      </c>
      <c r="M83" s="96">
        <v>904.69860900000003</v>
      </c>
      <c r="N83" s="97">
        <v>904.64003100000002</v>
      </c>
      <c r="O83" s="97">
        <v>938.26364699999999</v>
      </c>
      <c r="P83" s="98">
        <v>968.26329200000009</v>
      </c>
      <c r="Q83" s="96">
        <v>941.17594399999996</v>
      </c>
      <c r="R83" s="97">
        <v>912.35245199999997</v>
      </c>
      <c r="S83" s="99">
        <v>982.66569000000004</v>
      </c>
      <c r="T83" s="100">
        <v>1037.4360220000001</v>
      </c>
      <c r="U83" s="96">
        <v>1009.613416</v>
      </c>
      <c r="V83" s="97">
        <v>983.28590799999995</v>
      </c>
      <c r="W83" s="97">
        <v>1029.2940429999999</v>
      </c>
      <c r="X83" s="98">
        <v>1099.6311289999999</v>
      </c>
      <c r="Y83" s="130">
        <v>1111.5421510000001</v>
      </c>
      <c r="Z83" s="131">
        <v>996.21347000000003</v>
      </c>
      <c r="AA83" s="131">
        <v>1112.1718620000001</v>
      </c>
      <c r="AB83" s="132">
        <v>1120.2502529999999</v>
      </c>
      <c r="AC83" s="131">
        <v>1111.4283559999999</v>
      </c>
      <c r="AD83" s="97">
        <v>959.07729399999994</v>
      </c>
      <c r="AE83" s="97">
        <v>1112.5938189999999</v>
      </c>
      <c r="AF83" s="97">
        <v>1177.9871189999999</v>
      </c>
      <c r="AH83" s="96">
        <f t="shared" si="48"/>
        <v>3152.9909969999999</v>
      </c>
      <c r="AI83" s="97">
        <f t="shared" si="49"/>
        <v>3545.8964319999995</v>
      </c>
      <c r="AJ83" s="97">
        <f t="shared" si="54"/>
        <v>3715.8655789999998</v>
      </c>
      <c r="AK83" s="97">
        <f t="shared" si="55"/>
        <v>3873.6301080000003</v>
      </c>
      <c r="AL83" s="92">
        <f t="shared" si="56"/>
        <v>4121.8244959999993</v>
      </c>
      <c r="AM83" s="92">
        <f t="shared" si="57"/>
        <v>4340.1777360000006</v>
      </c>
      <c r="AN83" s="401">
        <f t="shared" si="53"/>
        <v>4361.0865880000001</v>
      </c>
      <c r="AO83" s="392"/>
    </row>
    <row r="84" spans="1:41" x14ac:dyDescent="0.25">
      <c r="C84" s="842"/>
      <c r="D84" s="843"/>
      <c r="E84" s="843"/>
      <c r="F84" s="842"/>
      <c r="G84" s="842"/>
      <c r="H84" s="842"/>
      <c r="I84" s="842"/>
    </row>
    <row r="85" spans="1:41" x14ac:dyDescent="0.25">
      <c r="B85" s="1055" t="s">
        <v>207</v>
      </c>
      <c r="C85" s="1055"/>
      <c r="D85" s="1055"/>
      <c r="E85" s="1055"/>
      <c r="F85" s="1055"/>
      <c r="G85" s="1055"/>
      <c r="H85" s="1055"/>
      <c r="I85" s="1055"/>
      <c r="Y85" s="396"/>
      <c r="AH85" s="120"/>
      <c r="AI85" s="120"/>
      <c r="AJ85" s="120"/>
      <c r="AK85" s="120"/>
      <c r="AL85" s="120"/>
      <c r="AM85" s="120"/>
      <c r="AN85" s="120"/>
    </row>
    <row r="86" spans="1:41" x14ac:dyDescent="0.25">
      <c r="B86" s="1055" t="s">
        <v>206</v>
      </c>
      <c r="C86" s="1055"/>
      <c r="D86" s="1055"/>
      <c r="E86" s="1055"/>
      <c r="F86" s="1055"/>
      <c r="G86" s="1055"/>
      <c r="H86" s="1055"/>
      <c r="I86" s="1055"/>
      <c r="Y86" s="365"/>
      <c r="AH86" s="120"/>
      <c r="AI86" s="120"/>
      <c r="AJ86" s="120"/>
      <c r="AK86" s="120"/>
      <c r="AL86" s="120"/>
      <c r="AM86" s="120"/>
      <c r="AN86" s="120"/>
    </row>
    <row r="87" spans="1:41" x14ac:dyDescent="0.25">
      <c r="B87" s="329" t="s">
        <v>341</v>
      </c>
      <c r="C87" s="329"/>
      <c r="D87" s="329"/>
      <c r="E87" s="329"/>
      <c r="F87" s="329"/>
      <c r="G87" s="329"/>
      <c r="H87" s="329"/>
      <c r="I87" s="329"/>
      <c r="Y87" s="439"/>
      <c r="AH87" s="120"/>
      <c r="AI87" s="120"/>
      <c r="AJ87" s="120"/>
      <c r="AK87" s="120"/>
      <c r="AL87" s="120"/>
      <c r="AM87" s="120"/>
      <c r="AN87" s="120"/>
    </row>
    <row r="88" spans="1:41" x14ac:dyDescent="0.25">
      <c r="B88" s="329" t="s">
        <v>340</v>
      </c>
      <c r="C88" s="329"/>
      <c r="D88" s="329"/>
      <c r="E88" s="329"/>
      <c r="F88" s="329"/>
      <c r="G88" s="329"/>
      <c r="H88" s="329"/>
      <c r="I88" s="329"/>
      <c r="AH88" s="120"/>
      <c r="AI88" s="120"/>
      <c r="AJ88" s="120"/>
      <c r="AK88" s="120"/>
      <c r="AL88" s="120"/>
      <c r="AM88" s="120"/>
      <c r="AN88" s="120"/>
    </row>
    <row r="89" spans="1:41" x14ac:dyDescent="0.25">
      <c r="B89" s="117"/>
      <c r="C89" s="31"/>
      <c r="AH89" s="120"/>
      <c r="AI89" s="120"/>
      <c r="AJ89" s="120"/>
      <c r="AK89" s="120"/>
      <c r="AL89" s="120"/>
      <c r="AM89" s="120"/>
      <c r="AN89" s="120"/>
    </row>
    <row r="90" spans="1:41" x14ac:dyDescent="0.25">
      <c r="B90" s="56" t="s">
        <v>74</v>
      </c>
      <c r="C90" s="31"/>
      <c r="AH90" s="120"/>
      <c r="AI90" s="120"/>
      <c r="AJ90" s="120"/>
      <c r="AK90" s="120"/>
      <c r="AL90" s="120"/>
      <c r="AM90" s="120"/>
      <c r="AN90" s="120"/>
    </row>
    <row r="91" spans="1:41" ht="15.75" thickBot="1" x14ac:dyDescent="0.3">
      <c r="C91" s="31"/>
      <c r="AH91" s="120"/>
      <c r="AI91" s="120"/>
      <c r="AJ91" s="120"/>
      <c r="AK91" s="120"/>
      <c r="AL91" s="120"/>
      <c r="AM91" s="120"/>
      <c r="AN91" s="120"/>
    </row>
    <row r="92" spans="1:41" ht="15.75" thickBot="1" x14ac:dyDescent="0.3">
      <c r="A92" s="48" t="s">
        <v>75</v>
      </c>
      <c r="B92" s="49" t="s">
        <v>76</v>
      </c>
      <c r="C92" s="49" t="s">
        <v>77</v>
      </c>
      <c r="D92" s="50"/>
      <c r="E92" s="51">
        <v>2014</v>
      </c>
      <c r="F92" s="52">
        <v>2015</v>
      </c>
      <c r="G92" s="52">
        <v>2016</v>
      </c>
      <c r="H92" s="52">
        <v>2017</v>
      </c>
      <c r="I92" s="52">
        <v>2018</v>
      </c>
      <c r="J92" s="301">
        <v>2019</v>
      </c>
      <c r="K92" s="301">
        <v>2020</v>
      </c>
      <c r="L92" s="367"/>
      <c r="AH92" s="120"/>
      <c r="AI92" s="120"/>
      <c r="AJ92" s="120"/>
      <c r="AK92" s="120"/>
      <c r="AL92" s="120"/>
      <c r="AM92" s="120"/>
      <c r="AN92" s="120"/>
    </row>
    <row r="93" spans="1:41" x14ac:dyDescent="0.25">
      <c r="A93" s="1039" t="s">
        <v>93</v>
      </c>
      <c r="B93" s="1040" t="s">
        <v>96</v>
      </c>
      <c r="C93" s="1046" t="s">
        <v>79</v>
      </c>
      <c r="D93" s="43" t="s">
        <v>152</v>
      </c>
      <c r="E93" s="40"/>
      <c r="F93" s="33"/>
      <c r="G93" s="33"/>
      <c r="H93" s="74">
        <v>8384</v>
      </c>
      <c r="I93" s="74">
        <v>30000</v>
      </c>
      <c r="J93" s="328">
        <v>30000</v>
      </c>
      <c r="K93" s="74">
        <v>30000</v>
      </c>
      <c r="L93" s="367"/>
    </row>
    <row r="94" spans="1:41" x14ac:dyDescent="0.25">
      <c r="A94" s="987"/>
      <c r="B94" s="1041"/>
      <c r="C94" s="1047"/>
      <c r="D94" s="44" t="s">
        <v>231</v>
      </c>
      <c r="E94" s="41"/>
      <c r="F94" s="32"/>
      <c r="G94" s="32"/>
      <c r="H94" s="76">
        <v>0</v>
      </c>
      <c r="I94" s="76">
        <v>0</v>
      </c>
      <c r="J94" s="302">
        <v>0</v>
      </c>
      <c r="K94" s="76">
        <v>0</v>
      </c>
      <c r="L94" s="367"/>
    </row>
    <row r="95" spans="1:41" ht="15.75" thickBot="1" x14ac:dyDescent="0.3">
      <c r="A95" s="988"/>
      <c r="B95" s="1042"/>
      <c r="C95" s="1048"/>
      <c r="D95" s="45" t="s">
        <v>232</v>
      </c>
      <c r="E95" s="42"/>
      <c r="F95" s="35"/>
      <c r="G95" s="35"/>
      <c r="H95" s="77">
        <v>0</v>
      </c>
      <c r="I95" s="77">
        <v>0</v>
      </c>
      <c r="J95" s="303">
        <v>0</v>
      </c>
      <c r="K95" s="77">
        <v>0</v>
      </c>
      <c r="L95" s="367"/>
    </row>
    <row r="96" spans="1:41" x14ac:dyDescent="0.25">
      <c r="A96" s="986" t="s">
        <v>94</v>
      </c>
      <c r="B96" s="1040" t="s">
        <v>97</v>
      </c>
      <c r="C96" s="1050" t="s">
        <v>79</v>
      </c>
      <c r="D96" s="46" t="s">
        <v>152</v>
      </c>
      <c r="E96" s="40"/>
      <c r="F96" s="33"/>
      <c r="G96" s="33"/>
      <c r="H96" s="74">
        <v>2795</v>
      </c>
      <c r="I96" s="74">
        <v>10000</v>
      </c>
      <c r="J96" s="328">
        <v>10000</v>
      </c>
      <c r="K96" s="74">
        <v>10000</v>
      </c>
      <c r="L96" s="367"/>
    </row>
    <row r="97" spans="1:39" x14ac:dyDescent="0.25">
      <c r="A97" s="987"/>
      <c r="B97" s="1041"/>
      <c r="C97" s="1047"/>
      <c r="D97" s="44" t="s">
        <v>231</v>
      </c>
      <c r="E97" s="41"/>
      <c r="F97" s="32"/>
      <c r="G97" s="32"/>
      <c r="H97" s="76">
        <v>0</v>
      </c>
      <c r="I97" s="76">
        <v>0</v>
      </c>
      <c r="J97" s="302">
        <v>0</v>
      </c>
      <c r="K97" s="76">
        <v>0</v>
      </c>
      <c r="L97" s="367"/>
    </row>
    <row r="98" spans="1:39" ht="15.75" thickBot="1" x14ac:dyDescent="0.3">
      <c r="A98" s="1049"/>
      <c r="B98" s="1042"/>
      <c r="C98" s="1051"/>
      <c r="D98" s="47" t="s">
        <v>232</v>
      </c>
      <c r="E98" s="42"/>
      <c r="F98" s="35"/>
      <c r="G98" s="35"/>
      <c r="H98" s="77">
        <v>0</v>
      </c>
      <c r="I98" s="77">
        <v>0</v>
      </c>
      <c r="J98" s="303">
        <v>0</v>
      </c>
      <c r="K98" s="77">
        <v>0</v>
      </c>
      <c r="L98" s="367"/>
    </row>
    <row r="99" spans="1:39" x14ac:dyDescent="0.25">
      <c r="A99" s="1039" t="s">
        <v>95</v>
      </c>
      <c r="B99" s="1040" t="s">
        <v>98</v>
      </c>
      <c r="C99" s="1043" t="s">
        <v>79</v>
      </c>
      <c r="D99" s="43" t="s">
        <v>152</v>
      </c>
      <c r="E99" s="40"/>
      <c r="F99" s="33"/>
      <c r="G99" s="33"/>
      <c r="H99" s="74">
        <v>9781</v>
      </c>
      <c r="I99" s="74">
        <v>35000</v>
      </c>
      <c r="J99" s="328">
        <v>35000</v>
      </c>
      <c r="K99" s="74">
        <v>35000</v>
      </c>
      <c r="L99" s="367"/>
    </row>
    <row r="100" spans="1:39" x14ac:dyDescent="0.25">
      <c r="A100" s="987"/>
      <c r="B100" s="1041"/>
      <c r="C100" s="1044"/>
      <c r="D100" s="44" t="s">
        <v>231</v>
      </c>
      <c r="E100" s="41"/>
      <c r="F100" s="32"/>
      <c r="G100" s="32"/>
      <c r="H100" s="76">
        <v>0</v>
      </c>
      <c r="I100" s="76">
        <v>20</v>
      </c>
      <c r="J100" s="302">
        <v>0</v>
      </c>
      <c r="K100" s="865">
        <v>475</v>
      </c>
      <c r="L100" s="367"/>
    </row>
    <row r="101" spans="1:39" ht="15.75" thickBot="1" x14ac:dyDescent="0.3">
      <c r="A101" s="988"/>
      <c r="B101" s="1042"/>
      <c r="C101" s="1045"/>
      <c r="D101" s="45" t="s">
        <v>232</v>
      </c>
      <c r="E101" s="42"/>
      <c r="F101" s="35"/>
      <c r="G101" s="35"/>
      <c r="H101" s="77">
        <v>0</v>
      </c>
      <c r="I101" s="77">
        <v>0</v>
      </c>
      <c r="J101" s="303">
        <v>0</v>
      </c>
      <c r="K101" s="77">
        <v>0</v>
      </c>
      <c r="L101" s="367"/>
    </row>
    <row r="102" spans="1:39" x14ac:dyDescent="0.25">
      <c r="J102" s="226"/>
    </row>
    <row r="105" spans="1:39" x14ac:dyDescent="0.25">
      <c r="B105" s="365" t="s">
        <v>368</v>
      </c>
    </row>
    <row r="106" spans="1:39" ht="15.75" thickBot="1" x14ac:dyDescent="0.3"/>
    <row r="107" spans="1:39" ht="15.75" thickBot="1" x14ac:dyDescent="0.3">
      <c r="B107" s="66" t="s">
        <v>130</v>
      </c>
      <c r="C107" s="52" t="s">
        <v>68</v>
      </c>
      <c r="D107" s="53" t="s">
        <v>69</v>
      </c>
      <c r="E107" s="102" t="s">
        <v>100</v>
      </c>
      <c r="F107" s="103" t="s">
        <v>101</v>
      </c>
      <c r="G107" s="103" t="s">
        <v>104</v>
      </c>
      <c r="H107" s="104" t="s">
        <v>105</v>
      </c>
      <c r="I107" s="102" t="s">
        <v>102</v>
      </c>
      <c r="J107" s="103" t="s">
        <v>103</v>
      </c>
      <c r="K107" s="103" t="s">
        <v>106</v>
      </c>
      <c r="L107" s="104" t="s">
        <v>107</v>
      </c>
      <c r="M107" s="102" t="s">
        <v>108</v>
      </c>
      <c r="N107" s="103" t="s">
        <v>109</v>
      </c>
      <c r="O107" s="103" t="s">
        <v>110</v>
      </c>
      <c r="P107" s="104" t="s">
        <v>111</v>
      </c>
      <c r="Q107" s="102" t="s">
        <v>112</v>
      </c>
      <c r="R107" s="494" t="s">
        <v>113</v>
      </c>
      <c r="S107" s="495" t="s">
        <v>114</v>
      </c>
      <c r="T107" s="496" t="s">
        <v>115</v>
      </c>
      <c r="U107" s="497" t="s">
        <v>116</v>
      </c>
      <c r="V107" s="494" t="s">
        <v>117</v>
      </c>
      <c r="W107" s="494" t="s">
        <v>118</v>
      </c>
      <c r="X107" s="498" t="s">
        <v>119</v>
      </c>
      <c r="Y107" s="497" t="s">
        <v>242</v>
      </c>
      <c r="Z107" s="494" t="s">
        <v>243</v>
      </c>
      <c r="AA107" s="494" t="s">
        <v>333</v>
      </c>
      <c r="AB107" s="498" t="s">
        <v>334</v>
      </c>
      <c r="AH107" s="102">
        <v>2014</v>
      </c>
      <c r="AI107" s="103">
        <v>2015</v>
      </c>
      <c r="AJ107" s="103">
        <v>2016</v>
      </c>
      <c r="AK107" s="103">
        <v>2017</v>
      </c>
      <c r="AL107" s="103">
        <v>2018</v>
      </c>
      <c r="AM107" s="104">
        <v>2019</v>
      </c>
    </row>
    <row r="108" spans="1:39" x14ac:dyDescent="0.25">
      <c r="B108" s="20" t="s">
        <v>342</v>
      </c>
      <c r="C108" s="886" t="s">
        <v>300</v>
      </c>
      <c r="D108" s="887"/>
      <c r="E108" s="81">
        <v>0.16219500000000001</v>
      </c>
      <c r="F108" s="82">
        <v>0.15495400000000001</v>
      </c>
      <c r="G108" s="82">
        <v>0.225832</v>
      </c>
      <c r="H108" s="83">
        <v>0.18027300000000002</v>
      </c>
      <c r="I108" s="81">
        <v>0.161194</v>
      </c>
      <c r="J108" s="82">
        <v>0.17077599999999998</v>
      </c>
      <c r="K108" s="82">
        <v>0.20982600000000001</v>
      </c>
      <c r="L108" s="83">
        <v>0.18129699999999999</v>
      </c>
      <c r="M108" s="81">
        <v>0.18403900000000001</v>
      </c>
      <c r="N108" s="82">
        <v>0.17094199999999998</v>
      </c>
      <c r="O108" s="82">
        <v>0.27764299999999997</v>
      </c>
      <c r="P108" s="83">
        <v>7.6586000000000001E-2</v>
      </c>
      <c r="Q108" s="81">
        <v>0.157332</v>
      </c>
      <c r="R108" s="128">
        <v>0.30426699999999995</v>
      </c>
      <c r="S108" s="134">
        <v>0.269013</v>
      </c>
      <c r="T108" s="135">
        <v>8.6470000000000005E-2</v>
      </c>
      <c r="U108" s="127">
        <v>0.30593199999999998</v>
      </c>
      <c r="V108" s="128">
        <v>0.37067699999999998</v>
      </c>
      <c r="W108" s="128">
        <v>0.37790699999999999</v>
      </c>
      <c r="X108" s="129">
        <v>0.35067600000000004</v>
      </c>
      <c r="Y108" s="127">
        <v>0.347715</v>
      </c>
      <c r="Z108" s="128">
        <v>0.37329400000000001</v>
      </c>
      <c r="AA108" s="128">
        <v>0.16306599999999999</v>
      </c>
      <c r="AB108" s="129">
        <v>0.14862400000000001</v>
      </c>
      <c r="AH108" s="81">
        <f t="shared" ref="AH108:AH127" si="62">SUM(E108:H108)</f>
        <v>0.72325400000000006</v>
      </c>
      <c r="AI108" s="82">
        <f t="shared" ref="AI108:AI127" si="63">SUM(I108:L108)</f>
        <v>0.72309299999999999</v>
      </c>
      <c r="AJ108" s="82">
        <f t="shared" ref="AJ108:AJ127" si="64">SUM(M108:P108)</f>
        <v>0.70921000000000001</v>
      </c>
      <c r="AK108" s="82">
        <f t="shared" ref="AK108:AK127" si="65">SUM(Q108:T108)</f>
        <v>0.81708200000000009</v>
      </c>
      <c r="AL108" s="82">
        <f t="shared" ref="AL108:AL127" si="66">SUM(U108:X108)</f>
        <v>1.405192</v>
      </c>
      <c r="AM108" s="83">
        <f>SUM(X108:AA108)</f>
        <v>1.2347509999999999</v>
      </c>
    </row>
    <row r="109" spans="1:39" x14ac:dyDescent="0.25">
      <c r="B109" s="21" t="s">
        <v>343</v>
      </c>
      <c r="C109" s="890"/>
      <c r="D109" s="891"/>
      <c r="E109" s="86">
        <v>7.1798229999999998</v>
      </c>
      <c r="F109" s="87">
        <v>5.7355460000000003</v>
      </c>
      <c r="G109" s="87">
        <v>10.113911000000002</v>
      </c>
      <c r="H109" s="88">
        <v>6.9760220000000004</v>
      </c>
      <c r="I109" s="86">
        <v>8.5027849999999994</v>
      </c>
      <c r="J109" s="87">
        <v>8.199071</v>
      </c>
      <c r="K109" s="87">
        <v>9.3933049999999998</v>
      </c>
      <c r="L109" s="88">
        <v>10.194863999999999</v>
      </c>
      <c r="M109" s="86">
        <v>7.3185060000000002</v>
      </c>
      <c r="N109" s="87">
        <v>8.2197259999999996</v>
      </c>
      <c r="O109" s="87">
        <v>11.342248</v>
      </c>
      <c r="P109" s="88">
        <v>8.1389139999999998</v>
      </c>
      <c r="Q109" s="86">
        <v>7.3354809999999997</v>
      </c>
      <c r="R109" s="122">
        <v>9.0122150000000012</v>
      </c>
      <c r="S109" s="136">
        <v>13.979652999999999</v>
      </c>
      <c r="T109" s="137">
        <v>11.213501000000001</v>
      </c>
      <c r="U109" s="121">
        <v>10.195287</v>
      </c>
      <c r="V109" s="122">
        <v>10.081845</v>
      </c>
      <c r="W109" s="122">
        <v>13.620499000000001</v>
      </c>
      <c r="X109" s="123">
        <v>10.785072</v>
      </c>
      <c r="Y109" s="121">
        <v>10.0511</v>
      </c>
      <c r="Z109" s="122">
        <v>11.327023000000001</v>
      </c>
      <c r="AA109" s="122">
        <v>14.694905</v>
      </c>
      <c r="AB109" s="123">
        <v>9.3497249999999994</v>
      </c>
      <c r="AH109" s="86">
        <f t="shared" si="62"/>
        <v>30.005302</v>
      </c>
      <c r="AI109" s="87">
        <f t="shared" si="63"/>
        <v>36.290025</v>
      </c>
      <c r="AJ109" s="87">
        <f t="shared" si="64"/>
        <v>35.019393999999998</v>
      </c>
      <c r="AK109" s="87">
        <f t="shared" si="65"/>
        <v>41.540849999999999</v>
      </c>
      <c r="AL109" s="87">
        <f t="shared" si="66"/>
        <v>44.682703000000004</v>
      </c>
      <c r="AM109" s="88">
        <f>SUM(Y109:AB109)</f>
        <v>45.422753</v>
      </c>
    </row>
    <row r="110" spans="1:39" x14ac:dyDescent="0.25">
      <c r="B110" s="22" t="str">
        <f>B108</f>
        <v>Sucre (3)</v>
      </c>
      <c r="C110" s="892" t="s">
        <v>301</v>
      </c>
      <c r="D110" s="893"/>
      <c r="E110" s="91">
        <v>1.9162239999999999</v>
      </c>
      <c r="F110" s="92">
        <v>1.5750870000000001</v>
      </c>
      <c r="G110" s="92">
        <v>1.653392</v>
      </c>
      <c r="H110" s="93">
        <v>2.2962180000000001</v>
      </c>
      <c r="I110" s="91">
        <v>2.3585739999999999</v>
      </c>
      <c r="J110" s="92">
        <v>1.815013</v>
      </c>
      <c r="K110" s="92">
        <v>1.460882</v>
      </c>
      <c r="L110" s="93">
        <v>3.4215689999999999</v>
      </c>
      <c r="M110" s="91">
        <v>2.2213749999999997</v>
      </c>
      <c r="N110" s="92">
        <v>1.661797</v>
      </c>
      <c r="O110" s="92">
        <v>1.7692110000000001</v>
      </c>
      <c r="P110" s="93">
        <v>3.096238</v>
      </c>
      <c r="Q110" s="91">
        <v>2.2735799999999999</v>
      </c>
      <c r="R110" s="125">
        <v>1.690434</v>
      </c>
      <c r="S110" s="138">
        <v>2.313796</v>
      </c>
      <c r="T110" s="139">
        <v>3.8490790000000001</v>
      </c>
      <c r="U110" s="124">
        <v>2.614395</v>
      </c>
      <c r="V110" s="125">
        <v>2.6950240000000001</v>
      </c>
      <c r="W110" s="125">
        <v>2.2731189999999999</v>
      </c>
      <c r="X110" s="126">
        <v>2.4242590000000002</v>
      </c>
      <c r="Y110" s="124">
        <v>3.60717</v>
      </c>
      <c r="Z110" s="125">
        <v>2.5307750000000002</v>
      </c>
      <c r="AA110" s="125">
        <v>3.1677649999999997</v>
      </c>
      <c r="AB110" s="126">
        <v>5.145391</v>
      </c>
      <c r="AH110" s="91">
        <f t="shared" si="62"/>
        <v>7.4409209999999995</v>
      </c>
      <c r="AI110" s="92">
        <f t="shared" si="63"/>
        <v>9.0560379999999991</v>
      </c>
      <c r="AJ110" s="92">
        <f t="shared" si="64"/>
        <v>8.748621</v>
      </c>
      <c r="AK110" s="92">
        <f t="shared" si="65"/>
        <v>10.126889</v>
      </c>
      <c r="AL110" s="92">
        <f t="shared" si="66"/>
        <v>10.006796999999999</v>
      </c>
      <c r="AM110" s="92">
        <f t="shared" ref="AM110:AM127" si="67">SUM(Y110:AB110)</f>
        <v>14.451101</v>
      </c>
    </row>
    <row r="111" spans="1:39" ht="15.75" thickBot="1" x14ac:dyDescent="0.3">
      <c r="B111" s="22" t="str">
        <f t="shared" ref="B111:B127" si="68">B109</f>
        <v>Produits sucrés (4)</v>
      </c>
      <c r="C111" s="896"/>
      <c r="D111" s="897"/>
      <c r="E111" s="91">
        <v>0.63470899999999997</v>
      </c>
      <c r="F111" s="92">
        <v>0.70335099999999995</v>
      </c>
      <c r="G111" s="92">
        <v>0.75922900000000004</v>
      </c>
      <c r="H111" s="93">
        <v>0.61893799999999999</v>
      </c>
      <c r="I111" s="91">
        <v>0.64246000000000003</v>
      </c>
      <c r="J111" s="92">
        <v>1.0293619999999999</v>
      </c>
      <c r="K111" s="92">
        <v>1.257104</v>
      </c>
      <c r="L111" s="93">
        <v>0.69908599999999999</v>
      </c>
      <c r="M111" s="91">
        <v>0.94364000000000003</v>
      </c>
      <c r="N111" s="92">
        <v>1.084104</v>
      </c>
      <c r="O111" s="92">
        <v>0.9043230000000001</v>
      </c>
      <c r="P111" s="93">
        <v>1.082954</v>
      </c>
      <c r="Q111" s="91">
        <v>1.5930770000000001</v>
      </c>
      <c r="R111" s="125">
        <v>1.33351</v>
      </c>
      <c r="S111" s="138">
        <v>1.4557289999999998</v>
      </c>
      <c r="T111" s="139">
        <v>1.174283</v>
      </c>
      <c r="U111" s="124">
        <v>4.3003130000000001</v>
      </c>
      <c r="V111" s="125">
        <v>2.8579949999999998</v>
      </c>
      <c r="W111" s="125">
        <v>2.1908080000000001</v>
      </c>
      <c r="X111" s="126">
        <v>4.5357659999999997</v>
      </c>
      <c r="Y111" s="124">
        <v>3.3444350000000003</v>
      </c>
      <c r="Z111" s="125">
        <v>3.8433820000000001</v>
      </c>
      <c r="AA111" s="125">
        <v>2.6544099999999999</v>
      </c>
      <c r="AB111" s="126">
        <v>3.4841799999999998</v>
      </c>
      <c r="AH111" s="91">
        <f t="shared" si="62"/>
        <v>2.7162269999999999</v>
      </c>
      <c r="AI111" s="92">
        <f t="shared" si="63"/>
        <v>3.6280119999999996</v>
      </c>
      <c r="AJ111" s="92">
        <f t="shared" si="64"/>
        <v>4.0150210000000008</v>
      </c>
      <c r="AK111" s="92">
        <f t="shared" si="65"/>
        <v>5.5565989999999994</v>
      </c>
      <c r="AL111" s="92">
        <f t="shared" si="66"/>
        <v>13.884882000000001</v>
      </c>
      <c r="AM111" s="92">
        <f t="shared" si="67"/>
        <v>13.326407000000001</v>
      </c>
    </row>
    <row r="112" spans="1:39" x14ac:dyDescent="0.25">
      <c r="B112" s="20" t="str">
        <f t="shared" si="68"/>
        <v>Sucre (3)</v>
      </c>
      <c r="C112" s="886" t="s">
        <v>302</v>
      </c>
      <c r="D112" s="887"/>
      <c r="E112" s="81">
        <v>49.518755999999996</v>
      </c>
      <c r="F112" s="82">
        <v>57.792876</v>
      </c>
      <c r="G112" s="82">
        <v>51.081499000000001</v>
      </c>
      <c r="H112" s="83">
        <v>69.457172</v>
      </c>
      <c r="I112" s="81">
        <v>52.005740000000003</v>
      </c>
      <c r="J112" s="82">
        <v>70.99217800000001</v>
      </c>
      <c r="K112" s="82">
        <v>59.792927999999996</v>
      </c>
      <c r="L112" s="83">
        <v>48.983479000000003</v>
      </c>
      <c r="M112" s="81">
        <v>54.795869000000003</v>
      </c>
      <c r="N112" s="82">
        <v>58.947138000000002</v>
      </c>
      <c r="O112" s="82">
        <v>67.658395999999996</v>
      </c>
      <c r="P112" s="83">
        <v>47.230182999999997</v>
      </c>
      <c r="Q112" s="81">
        <v>67.788341000000003</v>
      </c>
      <c r="R112" s="128">
        <v>79.629483999999991</v>
      </c>
      <c r="S112" s="134">
        <v>72.571225999999996</v>
      </c>
      <c r="T112" s="135">
        <v>113.92422699999999</v>
      </c>
      <c r="U112" s="127">
        <v>100.72236599999999</v>
      </c>
      <c r="V112" s="128">
        <v>101.366724</v>
      </c>
      <c r="W112" s="128">
        <v>70.437092000000007</v>
      </c>
      <c r="X112" s="129">
        <v>83.770251000000002</v>
      </c>
      <c r="Y112" s="127">
        <v>56.749366999999999</v>
      </c>
      <c r="Z112" s="128">
        <v>42.929974000000001</v>
      </c>
      <c r="AA112" s="128">
        <v>36.749220999999999</v>
      </c>
      <c r="AB112" s="129">
        <v>46.792646000000005</v>
      </c>
      <c r="AH112" s="81">
        <f t="shared" si="62"/>
        <v>227.850303</v>
      </c>
      <c r="AI112" s="82">
        <f t="shared" si="63"/>
        <v>231.77432500000003</v>
      </c>
      <c r="AJ112" s="82">
        <f t="shared" si="64"/>
        <v>228.63158600000003</v>
      </c>
      <c r="AK112" s="82">
        <f t="shared" si="65"/>
        <v>333.91327799999999</v>
      </c>
      <c r="AL112" s="82">
        <f t="shared" si="66"/>
        <v>356.29643299999998</v>
      </c>
      <c r="AM112" s="88">
        <f t="shared" si="67"/>
        <v>183.22120799999999</v>
      </c>
    </row>
    <row r="113" spans="2:39" x14ac:dyDescent="0.25">
      <c r="B113" s="21" t="str">
        <f t="shared" si="68"/>
        <v>Produits sucrés (4)</v>
      </c>
      <c r="C113" s="890"/>
      <c r="D113" s="891"/>
      <c r="E113" s="86">
        <v>199.40399399999998</v>
      </c>
      <c r="F113" s="87">
        <v>207.98177199999998</v>
      </c>
      <c r="G113" s="87">
        <v>241.89891899999998</v>
      </c>
      <c r="H113" s="88">
        <v>250.00160800000003</v>
      </c>
      <c r="I113" s="86">
        <v>197.09909399999998</v>
      </c>
      <c r="J113" s="87">
        <v>210.17159899999999</v>
      </c>
      <c r="K113" s="87">
        <v>217.08018899999999</v>
      </c>
      <c r="L113" s="88">
        <v>253.38546300000002</v>
      </c>
      <c r="M113" s="86">
        <v>214.03494999999998</v>
      </c>
      <c r="N113" s="87">
        <v>217.28646700000002</v>
      </c>
      <c r="O113" s="87">
        <v>237.87435400000001</v>
      </c>
      <c r="P113" s="88">
        <v>243.331031</v>
      </c>
      <c r="Q113" s="86">
        <v>233.03200000000001</v>
      </c>
      <c r="R113" s="122">
        <v>258.89532199999996</v>
      </c>
      <c r="S113" s="136">
        <v>252.55353300000002</v>
      </c>
      <c r="T113" s="137">
        <v>288.487077</v>
      </c>
      <c r="U113" s="121">
        <v>222.018337</v>
      </c>
      <c r="V113" s="122">
        <v>214.64363800000001</v>
      </c>
      <c r="W113" s="122">
        <v>250.50170600000001</v>
      </c>
      <c r="X113" s="123">
        <v>271.54449699999998</v>
      </c>
      <c r="Y113" s="121">
        <v>231.87701800000002</v>
      </c>
      <c r="Z113" s="122">
        <v>247.13458499999999</v>
      </c>
      <c r="AA113" s="122">
        <v>255.37625100000002</v>
      </c>
      <c r="AB113" s="123">
        <v>257.90245700000003</v>
      </c>
      <c r="AH113" s="86">
        <f t="shared" si="62"/>
        <v>899.286293</v>
      </c>
      <c r="AI113" s="87">
        <f t="shared" si="63"/>
        <v>877.73634500000003</v>
      </c>
      <c r="AJ113" s="87">
        <f t="shared" si="64"/>
        <v>912.52680200000009</v>
      </c>
      <c r="AK113" s="87">
        <f t="shared" si="65"/>
        <v>1032.967932</v>
      </c>
      <c r="AL113" s="87">
        <f t="shared" si="66"/>
        <v>958.70817799999998</v>
      </c>
      <c r="AM113" s="88">
        <f t="shared" si="67"/>
        <v>992.29031100000009</v>
      </c>
    </row>
    <row r="114" spans="2:39" x14ac:dyDescent="0.25">
      <c r="B114" s="22" t="str">
        <f t="shared" si="68"/>
        <v>Sucre (3)</v>
      </c>
      <c r="C114" s="892" t="s">
        <v>303</v>
      </c>
      <c r="D114" s="893"/>
      <c r="E114" s="91">
        <v>38.826526000000001</v>
      </c>
      <c r="F114" s="92">
        <v>8.3542050000000003</v>
      </c>
      <c r="G114" s="92">
        <v>18.989374999999999</v>
      </c>
      <c r="H114" s="93">
        <v>20.772154</v>
      </c>
      <c r="I114" s="91">
        <v>8.4147940000000006</v>
      </c>
      <c r="J114" s="92">
        <v>21.730004999999998</v>
      </c>
      <c r="K114" s="92">
        <v>19.085217</v>
      </c>
      <c r="L114" s="93">
        <v>11.409991000000002</v>
      </c>
      <c r="M114" s="91">
        <v>13.293575000000001</v>
      </c>
      <c r="N114" s="92">
        <v>14.821764000000002</v>
      </c>
      <c r="O114" s="92">
        <v>17.000045</v>
      </c>
      <c r="P114" s="93">
        <v>16.769911</v>
      </c>
      <c r="Q114" s="91">
        <v>13.965584</v>
      </c>
      <c r="R114" s="125">
        <v>16.165984000000002</v>
      </c>
      <c r="S114" s="138">
        <v>16.457387000000001</v>
      </c>
      <c r="T114" s="139">
        <v>18.39678</v>
      </c>
      <c r="U114" s="124">
        <v>16.310998999999999</v>
      </c>
      <c r="V114" s="125">
        <v>16.497325</v>
      </c>
      <c r="W114" s="125">
        <v>14.245348999999999</v>
      </c>
      <c r="X114" s="126">
        <v>15.747928999999999</v>
      </c>
      <c r="Y114" s="124">
        <v>13.934145000000001</v>
      </c>
      <c r="Z114" s="125">
        <v>19.821590999999998</v>
      </c>
      <c r="AA114" s="125">
        <v>18.065283000000001</v>
      </c>
      <c r="AB114" s="126">
        <v>17.431455</v>
      </c>
      <c r="AH114" s="91">
        <f t="shared" si="62"/>
        <v>86.942260000000005</v>
      </c>
      <c r="AI114" s="92">
        <f t="shared" si="63"/>
        <v>60.640006999999997</v>
      </c>
      <c r="AJ114" s="92">
        <f t="shared" si="64"/>
        <v>61.885295000000006</v>
      </c>
      <c r="AK114" s="92">
        <f t="shared" si="65"/>
        <v>64.985735000000005</v>
      </c>
      <c r="AL114" s="92">
        <f t="shared" si="66"/>
        <v>62.801601999999995</v>
      </c>
      <c r="AM114" s="92">
        <f t="shared" si="67"/>
        <v>69.252474000000007</v>
      </c>
    </row>
    <row r="115" spans="2:39" ht="15.75" thickBot="1" x14ac:dyDescent="0.3">
      <c r="B115" s="22" t="str">
        <f t="shared" si="68"/>
        <v>Produits sucrés (4)</v>
      </c>
      <c r="C115" s="896"/>
      <c r="D115" s="897"/>
      <c r="E115" s="91">
        <v>56.668648000000005</v>
      </c>
      <c r="F115" s="92">
        <v>54.967467999999997</v>
      </c>
      <c r="G115" s="92">
        <v>75.365766000000008</v>
      </c>
      <c r="H115" s="93">
        <v>83.691564999999997</v>
      </c>
      <c r="I115" s="91">
        <v>87.563034999999999</v>
      </c>
      <c r="J115" s="92">
        <v>69.893575999999996</v>
      </c>
      <c r="K115" s="92">
        <v>81.441617000000008</v>
      </c>
      <c r="L115" s="93">
        <v>81.996937000000003</v>
      </c>
      <c r="M115" s="91">
        <v>89.177873000000005</v>
      </c>
      <c r="N115" s="92">
        <v>87.701641999999993</v>
      </c>
      <c r="O115" s="92">
        <v>99.214836999999989</v>
      </c>
      <c r="P115" s="93">
        <v>92.217483999999999</v>
      </c>
      <c r="Q115" s="91">
        <v>95.779442000000003</v>
      </c>
      <c r="R115" s="125">
        <v>83.065654999999992</v>
      </c>
      <c r="S115" s="138">
        <v>94.610900000000001</v>
      </c>
      <c r="T115" s="139">
        <v>100.226596</v>
      </c>
      <c r="U115" s="124">
        <v>96.042579000000003</v>
      </c>
      <c r="V115" s="125">
        <v>96.315939999999998</v>
      </c>
      <c r="W115" s="125">
        <v>95.069935999999998</v>
      </c>
      <c r="X115" s="126">
        <v>98.086094000000003</v>
      </c>
      <c r="Y115" s="124">
        <v>93.681816999999995</v>
      </c>
      <c r="Z115" s="125">
        <v>89.135537999999997</v>
      </c>
      <c r="AA115" s="125">
        <v>101.750232</v>
      </c>
      <c r="AB115" s="126">
        <v>98.185699999999997</v>
      </c>
      <c r="AH115" s="91">
        <f t="shared" si="62"/>
        <v>270.69344699999999</v>
      </c>
      <c r="AI115" s="92">
        <f t="shared" si="63"/>
        <v>320.89516500000002</v>
      </c>
      <c r="AJ115" s="92">
        <f t="shared" si="64"/>
        <v>368.31183599999997</v>
      </c>
      <c r="AK115" s="92">
        <f t="shared" si="65"/>
        <v>373.682593</v>
      </c>
      <c r="AL115" s="92">
        <f t="shared" si="66"/>
        <v>385.51454899999999</v>
      </c>
      <c r="AM115" s="92">
        <f t="shared" si="67"/>
        <v>382.753287</v>
      </c>
    </row>
    <row r="116" spans="2:39" x14ac:dyDescent="0.25">
      <c r="B116" s="20" t="str">
        <f t="shared" si="68"/>
        <v>Sucre (3)</v>
      </c>
      <c r="C116" s="886" t="s">
        <v>304</v>
      </c>
      <c r="D116" s="887"/>
      <c r="E116" s="81">
        <v>307.33800799999995</v>
      </c>
      <c r="F116" s="82">
        <v>248.57209399999999</v>
      </c>
      <c r="G116" s="82">
        <v>223.15879799999999</v>
      </c>
      <c r="H116" s="83">
        <v>304.50311900000003</v>
      </c>
      <c r="I116" s="81">
        <v>265.76364999999998</v>
      </c>
      <c r="J116" s="82">
        <v>283.67053799999996</v>
      </c>
      <c r="K116" s="82">
        <v>260.01535100000001</v>
      </c>
      <c r="L116" s="83">
        <v>280.46916499999998</v>
      </c>
      <c r="M116" s="81">
        <v>240.38923600000001</v>
      </c>
      <c r="N116" s="82">
        <v>263.038636</v>
      </c>
      <c r="O116" s="82">
        <v>270.70023600000002</v>
      </c>
      <c r="P116" s="83">
        <v>286.04401099999995</v>
      </c>
      <c r="Q116" s="81">
        <v>276.87483600000002</v>
      </c>
      <c r="R116" s="128">
        <v>306.163926</v>
      </c>
      <c r="S116" s="134">
        <v>293.63715200000001</v>
      </c>
      <c r="T116" s="135">
        <v>415.43725499999999</v>
      </c>
      <c r="U116" s="127">
        <v>345.30699000000004</v>
      </c>
      <c r="V116" s="128">
        <v>318.75358599999998</v>
      </c>
      <c r="W116" s="128">
        <v>285.11442399999999</v>
      </c>
      <c r="X116" s="129">
        <v>317.66192899999999</v>
      </c>
      <c r="Y116" s="127">
        <v>252.836521</v>
      </c>
      <c r="Z116" s="128">
        <v>229.61885899999999</v>
      </c>
      <c r="AA116" s="128">
        <v>224.51510099999999</v>
      </c>
      <c r="AB116" s="129">
        <v>254.81795599999998</v>
      </c>
      <c r="AH116" s="81">
        <f t="shared" si="62"/>
        <v>1083.572019</v>
      </c>
      <c r="AI116" s="82">
        <f t="shared" si="63"/>
        <v>1089.9187039999999</v>
      </c>
      <c r="AJ116" s="82">
        <f t="shared" si="64"/>
        <v>1060.1721189999998</v>
      </c>
      <c r="AK116" s="82">
        <f t="shared" si="65"/>
        <v>1292.113169</v>
      </c>
      <c r="AL116" s="82">
        <f t="shared" si="66"/>
        <v>1266.8369290000001</v>
      </c>
      <c r="AM116" s="88">
        <f t="shared" si="67"/>
        <v>961.78843699999993</v>
      </c>
    </row>
    <row r="117" spans="2:39" x14ac:dyDescent="0.25">
      <c r="B117" s="21" t="str">
        <f t="shared" si="68"/>
        <v>Produits sucrés (4)</v>
      </c>
      <c r="C117" s="890"/>
      <c r="D117" s="891"/>
      <c r="E117" s="86">
        <v>679.51986799999997</v>
      </c>
      <c r="F117" s="87">
        <v>640.99766499999998</v>
      </c>
      <c r="G117" s="87">
        <v>702.41887900000006</v>
      </c>
      <c r="H117" s="88">
        <v>741.99983799999995</v>
      </c>
      <c r="I117" s="86">
        <v>658.54735899999991</v>
      </c>
      <c r="J117" s="87">
        <v>647.18736799999999</v>
      </c>
      <c r="K117" s="87">
        <v>688.93463599999995</v>
      </c>
      <c r="L117" s="88">
        <v>757.99583099999995</v>
      </c>
      <c r="M117" s="86">
        <v>708.56045900000004</v>
      </c>
      <c r="N117" s="87">
        <v>686.29603499999996</v>
      </c>
      <c r="O117" s="87">
        <v>720.97763600000008</v>
      </c>
      <c r="P117" s="88">
        <v>742.36145799999997</v>
      </c>
      <c r="Q117" s="86">
        <v>735.91559400000006</v>
      </c>
      <c r="R117" s="122">
        <v>716.4483009999999</v>
      </c>
      <c r="S117" s="136">
        <v>728.37232799999992</v>
      </c>
      <c r="T117" s="137">
        <v>791.31802999999991</v>
      </c>
      <c r="U117" s="121">
        <v>696.14081199999998</v>
      </c>
      <c r="V117" s="122">
        <v>678.89103499999999</v>
      </c>
      <c r="W117" s="122">
        <v>722.02641100000005</v>
      </c>
      <c r="X117" s="123">
        <v>769.2927279999999</v>
      </c>
      <c r="Y117" s="121">
        <v>701.74763699999994</v>
      </c>
      <c r="Z117" s="122">
        <v>661.89111400000002</v>
      </c>
      <c r="AA117" s="122">
        <v>695.85991399999989</v>
      </c>
      <c r="AB117" s="123">
        <v>722.94653999999991</v>
      </c>
      <c r="AH117" s="86">
        <f t="shared" si="62"/>
        <v>2764.9362499999997</v>
      </c>
      <c r="AI117" s="87">
        <f t="shared" si="63"/>
        <v>2752.6651940000002</v>
      </c>
      <c r="AJ117" s="87">
        <f t="shared" si="64"/>
        <v>2858.195588</v>
      </c>
      <c r="AK117" s="87">
        <f t="shared" si="65"/>
        <v>2972.0542529999998</v>
      </c>
      <c r="AL117" s="87">
        <f t="shared" si="66"/>
        <v>2866.3509859999999</v>
      </c>
      <c r="AM117" s="88">
        <f t="shared" si="67"/>
        <v>2782.445205</v>
      </c>
    </row>
    <row r="118" spans="2:39" x14ac:dyDescent="0.25">
      <c r="B118" s="22" t="str">
        <f t="shared" si="68"/>
        <v>Sucre (3)</v>
      </c>
      <c r="C118" s="892" t="s">
        <v>305</v>
      </c>
      <c r="D118" s="893"/>
      <c r="E118" s="91">
        <v>97.494951999999998</v>
      </c>
      <c r="F118" s="92">
        <v>72.342646000000002</v>
      </c>
      <c r="G118" s="92">
        <v>91.236403999999993</v>
      </c>
      <c r="H118" s="93">
        <v>76.478296999999998</v>
      </c>
      <c r="I118" s="91">
        <v>61.350919000000005</v>
      </c>
      <c r="J118" s="92">
        <v>75.792276000000001</v>
      </c>
      <c r="K118" s="92">
        <v>74.923472000000004</v>
      </c>
      <c r="L118" s="93">
        <v>63.377527000000001</v>
      </c>
      <c r="M118" s="91">
        <v>69.524484000000001</v>
      </c>
      <c r="N118" s="92">
        <v>77.303161000000003</v>
      </c>
      <c r="O118" s="92">
        <v>80.786010000000005</v>
      </c>
      <c r="P118" s="93">
        <v>79.406707999999995</v>
      </c>
      <c r="Q118" s="91">
        <v>71.699363000000005</v>
      </c>
      <c r="R118" s="125">
        <v>74.134312999999992</v>
      </c>
      <c r="S118" s="138">
        <v>77.673093999999992</v>
      </c>
      <c r="T118" s="139">
        <v>75.385851000000002</v>
      </c>
      <c r="U118" s="124">
        <v>74.202612000000002</v>
      </c>
      <c r="V118" s="125">
        <v>71.143965000000009</v>
      </c>
      <c r="W118" s="125">
        <v>64.981965000000002</v>
      </c>
      <c r="X118" s="126">
        <v>64.496744000000007</v>
      </c>
      <c r="Y118" s="124">
        <v>62.748221999999998</v>
      </c>
      <c r="Z118" s="125">
        <v>71.572145000000006</v>
      </c>
      <c r="AA118" s="125">
        <v>66.639088000000001</v>
      </c>
      <c r="AB118" s="126">
        <v>65.411518000000001</v>
      </c>
      <c r="AH118" s="91">
        <f t="shared" si="62"/>
        <v>337.552299</v>
      </c>
      <c r="AI118" s="92">
        <f t="shared" si="63"/>
        <v>275.44419399999998</v>
      </c>
      <c r="AJ118" s="92">
        <f t="shared" si="64"/>
        <v>307.02036300000003</v>
      </c>
      <c r="AK118" s="92">
        <f t="shared" si="65"/>
        <v>298.89262099999996</v>
      </c>
      <c r="AL118" s="92">
        <f t="shared" si="66"/>
        <v>274.82528600000001</v>
      </c>
      <c r="AM118" s="92">
        <f t="shared" si="67"/>
        <v>266.37097299999999</v>
      </c>
    </row>
    <row r="119" spans="2:39" ht="15.75" thickBot="1" x14ac:dyDescent="0.3">
      <c r="B119" s="22" t="str">
        <f t="shared" si="68"/>
        <v>Produits sucrés (4)</v>
      </c>
      <c r="C119" s="896"/>
      <c r="D119" s="897"/>
      <c r="E119" s="91">
        <v>668.40390200000002</v>
      </c>
      <c r="F119" s="92">
        <v>567.57535900000005</v>
      </c>
      <c r="G119" s="92">
        <v>689.12550699999997</v>
      </c>
      <c r="H119" s="93">
        <v>781.93633199999999</v>
      </c>
      <c r="I119" s="91">
        <v>736.33691799999997</v>
      </c>
      <c r="J119" s="92">
        <v>625.59670100000005</v>
      </c>
      <c r="K119" s="92">
        <v>741.05076399999996</v>
      </c>
      <c r="L119" s="93">
        <v>887.48830599999997</v>
      </c>
      <c r="M119" s="91">
        <v>780.20284199999992</v>
      </c>
      <c r="N119" s="92">
        <v>679.39755500000001</v>
      </c>
      <c r="O119" s="92">
        <v>825.29158199999995</v>
      </c>
      <c r="P119" s="93">
        <v>871.67093299999988</v>
      </c>
      <c r="Q119" s="91">
        <v>828.10786800000005</v>
      </c>
      <c r="R119" s="125">
        <v>702.87079199999994</v>
      </c>
      <c r="S119" s="138">
        <v>825.89020499999992</v>
      </c>
      <c r="T119" s="139">
        <v>890.94990299999995</v>
      </c>
      <c r="U119" s="124">
        <v>831.21093099999996</v>
      </c>
      <c r="V119" s="125">
        <v>712.12039099999993</v>
      </c>
      <c r="W119" s="125">
        <v>876.58545000000004</v>
      </c>
      <c r="X119" s="126">
        <v>872.79526799999996</v>
      </c>
      <c r="Y119" s="124">
        <v>838.41149200000007</v>
      </c>
      <c r="Z119" s="125">
        <v>733.44810699999994</v>
      </c>
      <c r="AA119" s="125">
        <v>859.44734500000004</v>
      </c>
      <c r="AB119" s="126">
        <v>906.709113</v>
      </c>
      <c r="AH119" s="91">
        <f t="shared" si="62"/>
        <v>2707.0410999999999</v>
      </c>
      <c r="AI119" s="92">
        <f t="shared" si="63"/>
        <v>2990.4726890000002</v>
      </c>
      <c r="AJ119" s="92">
        <f t="shared" si="64"/>
        <v>3156.5629119999999</v>
      </c>
      <c r="AK119" s="92">
        <f t="shared" si="65"/>
        <v>3247.8187680000001</v>
      </c>
      <c r="AL119" s="92">
        <f t="shared" si="66"/>
        <v>3292.7120399999999</v>
      </c>
      <c r="AM119" s="92">
        <f t="shared" si="67"/>
        <v>3338.0160569999998</v>
      </c>
    </row>
    <row r="120" spans="2:39" x14ac:dyDescent="0.25">
      <c r="B120" s="112" t="str">
        <f t="shared" si="68"/>
        <v>Sucre (3)</v>
      </c>
      <c r="C120" s="886" t="s">
        <v>273</v>
      </c>
      <c r="D120" s="887"/>
      <c r="E120" s="81">
        <v>0.57936499999999991</v>
      </c>
      <c r="F120" s="82">
        <v>0.81623600000000007</v>
      </c>
      <c r="G120" s="82">
        <v>0.79461000000000004</v>
      </c>
      <c r="H120" s="83">
        <v>0.95637899999999987</v>
      </c>
      <c r="I120" s="81">
        <v>0.69830499999999995</v>
      </c>
      <c r="J120" s="82">
        <v>0.68870799999999999</v>
      </c>
      <c r="K120" s="82">
        <v>0.70398999999999989</v>
      </c>
      <c r="L120" s="83">
        <v>0.64666800000000002</v>
      </c>
      <c r="M120" s="81">
        <v>0.60264800000000007</v>
      </c>
      <c r="N120" s="82">
        <v>0.60435799999999995</v>
      </c>
      <c r="O120" s="82">
        <v>1.4040550000000001</v>
      </c>
      <c r="P120" s="83">
        <v>1.087674</v>
      </c>
      <c r="Q120" s="81">
        <v>1.122452</v>
      </c>
      <c r="R120" s="128">
        <v>1.255895</v>
      </c>
      <c r="S120" s="134">
        <v>1.175435</v>
      </c>
      <c r="T120" s="135">
        <v>1.0630930000000001</v>
      </c>
      <c r="U120" s="127">
        <v>1.198007</v>
      </c>
      <c r="V120" s="128">
        <v>1.413459</v>
      </c>
      <c r="W120" s="128">
        <v>1.2133480000000001</v>
      </c>
      <c r="X120" s="129">
        <v>1.120293</v>
      </c>
      <c r="Y120" s="127">
        <v>1.399008</v>
      </c>
      <c r="Z120" s="128">
        <v>1.4651690000000002</v>
      </c>
      <c r="AA120" s="128">
        <v>1.196204</v>
      </c>
      <c r="AB120" s="129">
        <v>1.06793</v>
      </c>
      <c r="AH120" s="81">
        <f t="shared" si="62"/>
        <v>3.1465899999999998</v>
      </c>
      <c r="AI120" s="82">
        <f t="shared" si="63"/>
        <v>2.7376709999999997</v>
      </c>
      <c r="AJ120" s="82">
        <f t="shared" si="64"/>
        <v>3.6987350000000001</v>
      </c>
      <c r="AK120" s="82">
        <f t="shared" si="65"/>
        <v>4.6168750000000003</v>
      </c>
      <c r="AL120" s="82">
        <f t="shared" si="66"/>
        <v>4.9451070000000001</v>
      </c>
      <c r="AM120" s="88">
        <f t="shared" si="67"/>
        <v>5.1283110000000001</v>
      </c>
    </row>
    <row r="121" spans="2:39" x14ac:dyDescent="0.25">
      <c r="B121" s="109" t="str">
        <f t="shared" si="68"/>
        <v>Produits sucrés (4)</v>
      </c>
      <c r="C121" s="890"/>
      <c r="D121" s="891"/>
      <c r="E121" s="86">
        <v>53.256779999999999</v>
      </c>
      <c r="F121" s="87">
        <v>56.504089999999998</v>
      </c>
      <c r="G121" s="87">
        <v>104.521354</v>
      </c>
      <c r="H121" s="88">
        <v>78.452536999999992</v>
      </c>
      <c r="I121" s="86">
        <v>60.333297999999999</v>
      </c>
      <c r="J121" s="87">
        <v>63.334338000000002</v>
      </c>
      <c r="K121" s="87">
        <v>110.31762699999999</v>
      </c>
      <c r="L121" s="88">
        <v>82.059405000000012</v>
      </c>
      <c r="M121" s="86">
        <v>63.952401000000002</v>
      </c>
      <c r="N121" s="87">
        <v>68.656627</v>
      </c>
      <c r="O121" s="87">
        <v>123.78261999999999</v>
      </c>
      <c r="P121" s="88">
        <v>80.189088999999996</v>
      </c>
      <c r="Q121" s="86">
        <v>67.319018</v>
      </c>
      <c r="R121" s="122">
        <v>69.157590999999996</v>
      </c>
      <c r="S121" s="136">
        <v>121.265294</v>
      </c>
      <c r="T121" s="137">
        <v>87.098240000000004</v>
      </c>
      <c r="U121" s="121">
        <v>72.844303999999994</v>
      </c>
      <c r="V121" s="122">
        <v>76.949257999999986</v>
      </c>
      <c r="W121" s="122">
        <v>130.75284300000001</v>
      </c>
      <c r="X121" s="123">
        <v>85.240683999999987</v>
      </c>
      <c r="Y121" s="121">
        <v>66.167838000000003</v>
      </c>
      <c r="Z121" s="122">
        <v>76.723277999999993</v>
      </c>
      <c r="AA121" s="122">
        <v>132.895927</v>
      </c>
      <c r="AB121" s="123">
        <v>91.702228000000005</v>
      </c>
      <c r="AH121" s="86">
        <f t="shared" si="62"/>
        <v>292.73476099999999</v>
      </c>
      <c r="AI121" s="87">
        <f t="shared" si="63"/>
        <v>316.044668</v>
      </c>
      <c r="AJ121" s="87">
        <f t="shared" si="64"/>
        <v>336.580737</v>
      </c>
      <c r="AK121" s="87">
        <f t="shared" si="65"/>
        <v>344.84014300000001</v>
      </c>
      <c r="AL121" s="87">
        <f t="shared" si="66"/>
        <v>365.78708899999998</v>
      </c>
      <c r="AM121" s="88">
        <f t="shared" si="67"/>
        <v>367.48927100000003</v>
      </c>
    </row>
    <row r="122" spans="2:39" x14ac:dyDescent="0.25">
      <c r="B122" s="110" t="str">
        <f t="shared" si="68"/>
        <v>Sucre (3)</v>
      </c>
      <c r="C122" s="892" t="s">
        <v>274</v>
      </c>
      <c r="D122" s="893"/>
      <c r="E122" s="91">
        <v>10.379471000000001</v>
      </c>
      <c r="F122" s="92">
        <v>10.511738999999999</v>
      </c>
      <c r="G122" s="92">
        <v>10.295157</v>
      </c>
      <c r="H122" s="93">
        <v>14.029960000000001</v>
      </c>
      <c r="I122" s="91">
        <v>11.315735999999999</v>
      </c>
      <c r="J122" s="92">
        <v>14.916081</v>
      </c>
      <c r="K122" s="92">
        <v>12.416459</v>
      </c>
      <c r="L122" s="93">
        <v>15.575084</v>
      </c>
      <c r="M122" s="91">
        <v>11.939418</v>
      </c>
      <c r="N122" s="92">
        <v>15.818303999999999</v>
      </c>
      <c r="O122" s="92">
        <v>15.374912999999999</v>
      </c>
      <c r="P122" s="93">
        <v>17.715747</v>
      </c>
      <c r="Q122" s="91">
        <v>15.03942</v>
      </c>
      <c r="R122" s="125">
        <v>13.179751000000001</v>
      </c>
      <c r="S122" s="138">
        <v>15.737377</v>
      </c>
      <c r="T122" s="139">
        <v>20.060741999999998</v>
      </c>
      <c r="U122" s="124">
        <v>13.951343</v>
      </c>
      <c r="V122" s="125">
        <v>13.960678999999999</v>
      </c>
      <c r="W122" s="125">
        <v>11.678547</v>
      </c>
      <c r="X122" s="126">
        <v>14.628554000000001</v>
      </c>
      <c r="Y122" s="124">
        <v>19.075794000000002</v>
      </c>
      <c r="Z122" s="125">
        <v>16.097263000000002</v>
      </c>
      <c r="AA122" s="125">
        <v>15.524507</v>
      </c>
      <c r="AB122" s="126">
        <v>20.383808999999999</v>
      </c>
      <c r="AH122" s="91">
        <f t="shared" si="62"/>
        <v>45.216327</v>
      </c>
      <c r="AI122" s="92">
        <f t="shared" si="63"/>
        <v>54.22336</v>
      </c>
      <c r="AJ122" s="92">
        <f t="shared" si="64"/>
        <v>60.848382000000001</v>
      </c>
      <c r="AK122" s="92">
        <f t="shared" si="65"/>
        <v>64.017290000000003</v>
      </c>
      <c r="AL122" s="92">
        <f t="shared" si="66"/>
        <v>54.219123000000003</v>
      </c>
      <c r="AM122" s="92">
        <f t="shared" si="67"/>
        <v>71.081372999999999</v>
      </c>
    </row>
    <row r="123" spans="2:39" ht="15.75" thickBot="1" x14ac:dyDescent="0.3">
      <c r="B123" s="110" t="str">
        <f t="shared" si="68"/>
        <v>Produits sucrés (4)</v>
      </c>
      <c r="C123" s="896"/>
      <c r="D123" s="897"/>
      <c r="E123" s="91">
        <v>9.5196959999999997</v>
      </c>
      <c r="F123" s="92">
        <v>11.183941000000001</v>
      </c>
      <c r="G123" s="92">
        <v>8.6532830000000001</v>
      </c>
      <c r="H123" s="93">
        <v>8.4560500000000012</v>
      </c>
      <c r="I123" s="91">
        <v>9.7141359999999999</v>
      </c>
      <c r="J123" s="92">
        <v>11.719738</v>
      </c>
      <c r="K123" s="92">
        <v>10.361901</v>
      </c>
      <c r="L123" s="93">
        <v>10.225635</v>
      </c>
      <c r="M123" s="91">
        <v>11.187999999999999</v>
      </c>
      <c r="N123" s="92">
        <v>12.427232999999999</v>
      </c>
      <c r="O123" s="92">
        <v>9.4242860000000004</v>
      </c>
      <c r="P123" s="93">
        <v>10.103158000000001</v>
      </c>
      <c r="Q123" s="91">
        <v>14.112121</v>
      </c>
      <c r="R123" s="125">
        <v>15.799246</v>
      </c>
      <c r="S123" s="138">
        <v>14.467772</v>
      </c>
      <c r="T123" s="139">
        <v>15.516584</v>
      </c>
      <c r="U123" s="124">
        <v>17.713584000000001</v>
      </c>
      <c r="V123" s="125">
        <v>18.523298</v>
      </c>
      <c r="W123" s="125">
        <v>22.115097000000002</v>
      </c>
      <c r="X123" s="126">
        <v>17.703018999999998</v>
      </c>
      <c r="Y123" s="124">
        <v>20.980878999999998</v>
      </c>
      <c r="Z123" s="125">
        <v>21.228064</v>
      </c>
      <c r="AA123" s="125">
        <v>15.631074999999999</v>
      </c>
      <c r="AB123" s="126">
        <v>17.23781</v>
      </c>
      <c r="AH123" s="91">
        <f t="shared" si="62"/>
        <v>37.812970000000007</v>
      </c>
      <c r="AI123" s="92">
        <f t="shared" si="63"/>
        <v>42.021410000000003</v>
      </c>
      <c r="AJ123" s="92">
        <f t="shared" si="64"/>
        <v>43.142676999999999</v>
      </c>
      <c r="AK123" s="92">
        <f t="shared" si="65"/>
        <v>59.895722999999997</v>
      </c>
      <c r="AL123" s="92">
        <f t="shared" si="66"/>
        <v>76.054997999999998</v>
      </c>
      <c r="AM123" s="92">
        <f t="shared" si="67"/>
        <v>75.077827999999997</v>
      </c>
    </row>
    <row r="124" spans="2:39" x14ac:dyDescent="0.25">
      <c r="B124" s="112" t="str">
        <f t="shared" si="68"/>
        <v>Sucre (3)</v>
      </c>
      <c r="C124" s="886" t="s">
        <v>275</v>
      </c>
      <c r="D124" s="887"/>
      <c r="E124" s="81">
        <v>185.25501</v>
      </c>
      <c r="F124" s="82">
        <v>194.61294900000001</v>
      </c>
      <c r="G124" s="82">
        <v>194.253186</v>
      </c>
      <c r="H124" s="83">
        <v>228.07833000000002</v>
      </c>
      <c r="I124" s="81">
        <v>196.012989</v>
      </c>
      <c r="J124" s="82">
        <v>185.87788</v>
      </c>
      <c r="K124" s="82">
        <v>201.920782</v>
      </c>
      <c r="L124" s="83">
        <v>218.17912699999999</v>
      </c>
      <c r="M124" s="81">
        <v>172.018249</v>
      </c>
      <c r="N124" s="82">
        <v>233.567094</v>
      </c>
      <c r="O124" s="82">
        <v>327.15127899999999</v>
      </c>
      <c r="P124" s="83">
        <v>200.80596300000002</v>
      </c>
      <c r="Q124" s="81">
        <v>196.44922400000002</v>
      </c>
      <c r="R124" s="128">
        <v>267.48160899999999</v>
      </c>
      <c r="S124" s="134">
        <v>253.613147</v>
      </c>
      <c r="T124" s="135">
        <v>438.497973</v>
      </c>
      <c r="U124" s="127">
        <v>390.73855299999997</v>
      </c>
      <c r="V124" s="128">
        <v>369.54546199999999</v>
      </c>
      <c r="W124" s="128">
        <v>296.55667</v>
      </c>
      <c r="X124" s="129">
        <v>302.36937999999998</v>
      </c>
      <c r="Y124" s="127">
        <v>232.88496499999999</v>
      </c>
      <c r="Z124" s="128">
        <v>206.80302700000001</v>
      </c>
      <c r="AA124" s="128">
        <v>186.48973599999999</v>
      </c>
      <c r="AB124" s="129">
        <v>212.56114599999998</v>
      </c>
      <c r="AH124" s="81">
        <f t="shared" si="62"/>
        <v>802.19947500000012</v>
      </c>
      <c r="AI124" s="82">
        <f t="shared" si="63"/>
        <v>801.99077799999998</v>
      </c>
      <c r="AJ124" s="82">
        <f t="shared" si="64"/>
        <v>933.54258499999992</v>
      </c>
      <c r="AK124" s="82">
        <f t="shared" si="65"/>
        <v>1156.0419529999999</v>
      </c>
      <c r="AL124" s="82">
        <f t="shared" si="66"/>
        <v>1359.2100649999998</v>
      </c>
      <c r="AM124" s="88">
        <f t="shared" si="67"/>
        <v>838.73887400000001</v>
      </c>
    </row>
    <row r="125" spans="2:39" ht="15.75" thickBot="1" x14ac:dyDescent="0.3">
      <c r="B125" s="109" t="str">
        <f t="shared" si="68"/>
        <v>Produits sucrés (4)</v>
      </c>
      <c r="C125" s="890"/>
      <c r="D125" s="891"/>
      <c r="E125" s="86">
        <v>2181.8946610000003</v>
      </c>
      <c r="F125" s="87">
        <v>2212.5234820000001</v>
      </c>
      <c r="G125" s="87">
        <v>2484.0099460000001</v>
      </c>
      <c r="H125" s="88">
        <v>2634.9949269999997</v>
      </c>
      <c r="I125" s="86">
        <v>2210.8652790000001</v>
      </c>
      <c r="J125" s="87">
        <v>2293.1571320000003</v>
      </c>
      <c r="K125" s="87">
        <v>2616.787401</v>
      </c>
      <c r="L125" s="88">
        <v>2703.5254800000002</v>
      </c>
      <c r="M125" s="86">
        <v>2308.0385820000001</v>
      </c>
      <c r="N125" s="87">
        <v>2384.4511119999997</v>
      </c>
      <c r="O125" s="87">
        <v>2682.946727</v>
      </c>
      <c r="P125" s="88">
        <v>2878.0052349999996</v>
      </c>
      <c r="Q125" s="86">
        <v>2533.5173930000001</v>
      </c>
      <c r="R125" s="122">
        <v>2549.0951070000001</v>
      </c>
      <c r="S125" s="136">
        <v>2848.015386</v>
      </c>
      <c r="T125" s="137">
        <v>2948.5444299999999</v>
      </c>
      <c r="U125" s="121">
        <v>2481.179431</v>
      </c>
      <c r="V125" s="122">
        <v>2533.8564290000004</v>
      </c>
      <c r="W125" s="122">
        <v>2876.7134960000003</v>
      </c>
      <c r="X125" s="123">
        <v>3023.088968</v>
      </c>
      <c r="Y125" s="121">
        <v>2760.3847340000002</v>
      </c>
      <c r="Z125" s="122">
        <v>2727.0582809999996</v>
      </c>
      <c r="AA125" s="122">
        <v>3157.2084720000003</v>
      </c>
      <c r="AB125" s="123">
        <v>3247.5079390000001</v>
      </c>
      <c r="AH125" s="86">
        <f t="shared" si="62"/>
        <v>9513.4230160000006</v>
      </c>
      <c r="AI125" s="87">
        <f t="shared" si="63"/>
        <v>9824.3352919999998</v>
      </c>
      <c r="AJ125" s="87">
        <f t="shared" si="64"/>
        <v>10253.441655999999</v>
      </c>
      <c r="AK125" s="87">
        <f t="shared" si="65"/>
        <v>10879.172316</v>
      </c>
      <c r="AL125" s="87">
        <f t="shared" si="66"/>
        <v>10914.838324</v>
      </c>
      <c r="AM125" s="88">
        <f t="shared" si="67"/>
        <v>11892.159425999998</v>
      </c>
    </row>
    <row r="126" spans="2:39" x14ac:dyDescent="0.25">
      <c r="B126" s="116" t="str">
        <f t="shared" si="68"/>
        <v>Sucre (3)</v>
      </c>
      <c r="C126" s="892" t="s">
        <v>276</v>
      </c>
      <c r="D126" s="893"/>
      <c r="E126" s="91">
        <v>522.28687400000001</v>
      </c>
      <c r="F126" s="92">
        <v>436.70105100000001</v>
      </c>
      <c r="G126" s="92">
        <v>504.51977099999999</v>
      </c>
      <c r="H126" s="93">
        <v>344.49926299999998</v>
      </c>
      <c r="I126" s="91">
        <v>334.44193300000001</v>
      </c>
      <c r="J126" s="92">
        <v>351.925164</v>
      </c>
      <c r="K126" s="92">
        <v>487.84747200000004</v>
      </c>
      <c r="L126" s="93">
        <v>319.086973</v>
      </c>
      <c r="M126" s="91">
        <v>337.90488100000005</v>
      </c>
      <c r="N126" s="92">
        <v>446.21787699999999</v>
      </c>
      <c r="O126" s="92">
        <v>504.570964</v>
      </c>
      <c r="P126" s="93">
        <v>345.27074699999997</v>
      </c>
      <c r="Q126" s="91">
        <v>412.54164400000002</v>
      </c>
      <c r="R126" s="125">
        <v>446.61044299999998</v>
      </c>
      <c r="S126" s="138">
        <v>450.540323</v>
      </c>
      <c r="T126" s="139">
        <v>260.594651</v>
      </c>
      <c r="U126" s="124">
        <v>211.048407</v>
      </c>
      <c r="V126" s="125">
        <v>222.582335</v>
      </c>
      <c r="W126" s="125">
        <v>214.87225700000002</v>
      </c>
      <c r="X126" s="126">
        <v>231.02164099999999</v>
      </c>
      <c r="Y126" s="124">
        <v>267.969854</v>
      </c>
      <c r="Z126" s="125">
        <v>352.71751900000004</v>
      </c>
      <c r="AA126" s="125">
        <v>287.20809700000001</v>
      </c>
      <c r="AB126" s="126">
        <v>308.61036799999999</v>
      </c>
      <c r="AH126" s="91">
        <f t="shared" si="62"/>
        <v>1808.0069590000001</v>
      </c>
      <c r="AI126" s="92">
        <f t="shared" si="63"/>
        <v>1493.3015420000002</v>
      </c>
      <c r="AJ126" s="92">
        <f t="shared" si="64"/>
        <v>1633.964469</v>
      </c>
      <c r="AK126" s="92">
        <f t="shared" si="65"/>
        <v>1570.287061</v>
      </c>
      <c r="AL126" s="92">
        <f t="shared" si="66"/>
        <v>879.52464000000009</v>
      </c>
      <c r="AM126" s="92">
        <f t="shared" si="67"/>
        <v>1216.505838</v>
      </c>
    </row>
    <row r="127" spans="2:39" ht="15.75" thickBot="1" x14ac:dyDescent="0.3">
      <c r="B127" s="113" t="str">
        <f t="shared" si="68"/>
        <v>Produits sucrés (4)</v>
      </c>
      <c r="C127" s="896"/>
      <c r="D127" s="897"/>
      <c r="E127" s="96">
        <v>553.11473100000001</v>
      </c>
      <c r="F127" s="97">
        <v>566.15109299999995</v>
      </c>
      <c r="G127" s="97">
        <v>615.60689700000012</v>
      </c>
      <c r="H127" s="98">
        <v>657.96444999999994</v>
      </c>
      <c r="I127" s="96">
        <v>661.01223200000004</v>
      </c>
      <c r="J127" s="97">
        <v>649.78834700000004</v>
      </c>
      <c r="K127" s="97">
        <v>701.85467900000003</v>
      </c>
      <c r="L127" s="98">
        <v>719.76424199999997</v>
      </c>
      <c r="M127" s="96">
        <v>692.28802099999996</v>
      </c>
      <c r="N127" s="97">
        <v>687.68661799999995</v>
      </c>
      <c r="O127" s="97">
        <v>726.85663299999999</v>
      </c>
      <c r="P127" s="98">
        <v>751.64239599999996</v>
      </c>
      <c r="Q127" s="96">
        <v>734.750269</v>
      </c>
      <c r="R127" s="131">
        <v>716.43702600000006</v>
      </c>
      <c r="S127" s="140">
        <v>757.29695599999991</v>
      </c>
      <c r="T127" s="141">
        <v>781.49948300000005</v>
      </c>
      <c r="U127" s="130">
        <v>758.64067999999997</v>
      </c>
      <c r="V127" s="131">
        <v>738.521884</v>
      </c>
      <c r="W127" s="131">
        <v>796.36106900000004</v>
      </c>
      <c r="X127" s="132">
        <v>838.43876</v>
      </c>
      <c r="Y127" s="130">
        <v>824.56306700000005</v>
      </c>
      <c r="Z127" s="131">
        <v>770.43735500000003</v>
      </c>
      <c r="AA127" s="131">
        <v>858.08728199999996</v>
      </c>
      <c r="AB127" s="132">
        <v>856.95246100000008</v>
      </c>
      <c r="AH127" s="96">
        <f t="shared" si="62"/>
        <v>2392.8371710000001</v>
      </c>
      <c r="AI127" s="97">
        <f t="shared" si="63"/>
        <v>2732.4195</v>
      </c>
      <c r="AJ127" s="97">
        <f t="shared" si="64"/>
        <v>2858.4736679999996</v>
      </c>
      <c r="AK127" s="97">
        <f t="shared" si="65"/>
        <v>2989.9837339999999</v>
      </c>
      <c r="AL127" s="92">
        <f t="shared" si="66"/>
        <v>3131.9623929999998</v>
      </c>
      <c r="AM127" s="92">
        <f t="shared" si="67"/>
        <v>3310.0401650000003</v>
      </c>
    </row>
    <row r="128" spans="2:39" ht="15.75" thickBot="1" x14ac:dyDescent="0.3"/>
    <row r="129" spans="2:39" ht="15.75" thickBot="1" x14ac:dyDescent="0.3">
      <c r="B129" s="66" t="s">
        <v>130</v>
      </c>
      <c r="C129" s="52" t="s">
        <v>68</v>
      </c>
      <c r="D129" s="53" t="s">
        <v>69</v>
      </c>
    </row>
    <row r="130" spans="2:39" x14ac:dyDescent="0.25">
      <c r="B130" s="112" t="str">
        <f>B120</f>
        <v>Sucre (3)</v>
      </c>
      <c r="C130" s="886" t="s">
        <v>273</v>
      </c>
      <c r="D130" s="887"/>
      <c r="AH130" s="485">
        <f t="shared" ref="AH130:AM137" si="69">IFERROR((AH120-AH76)/AH120,)</f>
        <v>6.685078132200252E-2</v>
      </c>
      <c r="AI130" s="486">
        <f t="shared" si="69"/>
        <v>0.12430675563279876</v>
      </c>
      <c r="AJ130" s="486">
        <f t="shared" si="69"/>
        <v>3.4133291517234638E-3</v>
      </c>
      <c r="AK130" s="486">
        <f t="shared" si="69"/>
        <v>2.0195261946663167E-2</v>
      </c>
      <c r="AL130" s="486">
        <f t="shared" si="69"/>
        <v>2.2596073249780069E-2</v>
      </c>
      <c r="AM130" s="487">
        <f t="shared" si="69"/>
        <v>3.3618085954615511E-2</v>
      </c>
    </row>
    <row r="131" spans="2:39" x14ac:dyDescent="0.25">
      <c r="B131" s="109" t="str">
        <f>B121</f>
        <v>Produits sucrés (4)</v>
      </c>
      <c r="C131" s="890"/>
      <c r="D131" s="891"/>
      <c r="AH131" s="488">
        <f t="shared" si="69"/>
        <v>0.17831969740006384</v>
      </c>
      <c r="AI131" s="483">
        <f t="shared" si="69"/>
        <v>0.2103112019595913</v>
      </c>
      <c r="AJ131" s="483">
        <f t="shared" si="69"/>
        <v>0.16437462373255188</v>
      </c>
      <c r="AK131" s="483">
        <f t="shared" si="69"/>
        <v>0.12891513039420119</v>
      </c>
      <c r="AL131" s="483">
        <f t="shared" si="69"/>
        <v>0.13321666746963826</v>
      </c>
      <c r="AM131" s="489">
        <f t="shared" si="69"/>
        <v>0.12355203153672475</v>
      </c>
    </row>
    <row r="132" spans="2:39" x14ac:dyDescent="0.25">
      <c r="B132" s="110" t="str">
        <f t="shared" ref="B132:B137" si="70">B130</f>
        <v>Sucre (3)</v>
      </c>
      <c r="C132" s="892" t="s">
        <v>274</v>
      </c>
      <c r="D132" s="893"/>
      <c r="AH132" s="488">
        <f t="shared" si="69"/>
        <v>0.21646963938490627</v>
      </c>
      <c r="AI132" s="483">
        <f t="shared" si="69"/>
        <v>0.25418850842146268</v>
      </c>
      <c r="AJ132" s="483">
        <f t="shared" si="69"/>
        <v>0.22516971774204289</v>
      </c>
      <c r="AK132" s="483">
        <f t="shared" si="69"/>
        <v>0.21909741883794209</v>
      </c>
      <c r="AL132" s="483">
        <f t="shared" si="69"/>
        <v>0.24452944397496079</v>
      </c>
      <c r="AM132" s="489">
        <f t="shared" si="69"/>
        <v>0.21151307811682249</v>
      </c>
    </row>
    <row r="133" spans="2:39" ht="15.75" thickBot="1" x14ac:dyDescent="0.3">
      <c r="B133" s="110" t="str">
        <f t="shared" si="70"/>
        <v>Produits sucrés (4)</v>
      </c>
      <c r="C133" s="896"/>
      <c r="D133" s="897"/>
      <c r="AH133" s="490">
        <f t="shared" si="69"/>
        <v>0.11554725799110731</v>
      </c>
      <c r="AI133" s="491">
        <f t="shared" si="69"/>
        <v>0.1447801965712241</v>
      </c>
      <c r="AJ133" s="491">
        <f t="shared" si="69"/>
        <v>0.13928419416347299</v>
      </c>
      <c r="AK133" s="491">
        <f t="shared" si="69"/>
        <v>0.18045276788795087</v>
      </c>
      <c r="AL133" s="491">
        <f t="shared" si="69"/>
        <v>0.1712826946626177</v>
      </c>
      <c r="AM133" s="492">
        <f t="shared" si="69"/>
        <v>0.20085935357639809</v>
      </c>
    </row>
    <row r="134" spans="2:39" x14ac:dyDescent="0.25">
      <c r="B134" s="112" t="str">
        <f t="shared" si="70"/>
        <v>Sucre (3)</v>
      </c>
      <c r="C134" s="886" t="s">
        <v>275</v>
      </c>
      <c r="D134" s="887"/>
      <c r="AH134" s="485">
        <f t="shared" si="69"/>
        <v>-0.32568737594848202</v>
      </c>
      <c r="AI134" s="486">
        <f t="shared" si="69"/>
        <v>-0.38955791459237971</v>
      </c>
      <c r="AJ134" s="486">
        <f t="shared" si="69"/>
        <v>-0.30496595503460633</v>
      </c>
      <c r="AK134" s="486">
        <f t="shared" si="69"/>
        <v>-0.25801066148678098</v>
      </c>
      <c r="AL134" s="486">
        <f t="shared" si="69"/>
        <v>-0.18285014391796781</v>
      </c>
      <c r="AM134" s="487">
        <f t="shared" si="69"/>
        <v>-0.17359471524864603</v>
      </c>
    </row>
    <row r="135" spans="2:39" ht="15.75" thickBot="1" x14ac:dyDescent="0.3">
      <c r="B135" s="109" t="str">
        <f t="shared" si="70"/>
        <v>Produits sucrés (4)</v>
      </c>
      <c r="C135" s="890"/>
      <c r="D135" s="891"/>
      <c r="AH135" s="488">
        <f t="shared" si="69"/>
        <v>-0.26189675911705507</v>
      </c>
      <c r="AI135" s="483">
        <f t="shared" si="69"/>
        <v>-0.2700597985657594</v>
      </c>
      <c r="AJ135" s="483">
        <f t="shared" si="69"/>
        <v>-0.26510461288960224</v>
      </c>
      <c r="AK135" s="483">
        <f t="shared" si="69"/>
        <v>-0.24269971936346713</v>
      </c>
      <c r="AL135" s="483">
        <f t="shared" si="69"/>
        <v>-0.2521576428620308</v>
      </c>
      <c r="AM135" s="489">
        <f t="shared" si="69"/>
        <v>-0.22454762624202321</v>
      </c>
    </row>
    <row r="136" spans="2:39" x14ac:dyDescent="0.25">
      <c r="B136" s="116" t="str">
        <f t="shared" si="70"/>
        <v>Sucre (3)</v>
      </c>
      <c r="C136" s="892" t="s">
        <v>276</v>
      </c>
      <c r="D136" s="893"/>
      <c r="AH136" s="488">
        <f t="shared" si="69"/>
        <v>4.6800802717485615E-2</v>
      </c>
      <c r="AI136" s="483">
        <f t="shared" si="69"/>
        <v>5.3731808173543102E-2</v>
      </c>
      <c r="AJ136" s="483">
        <f t="shared" si="69"/>
        <v>4.2766186980041877E-3</v>
      </c>
      <c r="AK136" s="483">
        <f t="shared" si="69"/>
        <v>4.9027978330900349E-3</v>
      </c>
      <c r="AL136" s="483">
        <f t="shared" si="69"/>
        <v>-6.8272403374622703E-2</v>
      </c>
      <c r="AM136" s="489">
        <f t="shared" si="69"/>
        <v>-5.0938007089120066E-2</v>
      </c>
    </row>
    <row r="137" spans="2:39" ht="15.75" thickBot="1" x14ac:dyDescent="0.3">
      <c r="B137" s="113" t="str">
        <f t="shared" si="70"/>
        <v>Produits sucrés (4)</v>
      </c>
      <c r="C137" s="896"/>
      <c r="D137" s="897"/>
      <c r="AH137" s="490">
        <f t="shared" si="69"/>
        <v>-0.3176788772811987</v>
      </c>
      <c r="AI137" s="491">
        <f t="shared" si="69"/>
        <v>-0.29771304589211123</v>
      </c>
      <c r="AJ137" s="491">
        <f t="shared" si="69"/>
        <v>-0.29994745818312724</v>
      </c>
      <c r="AK137" s="491">
        <f t="shared" si="69"/>
        <v>-0.29553551210054857</v>
      </c>
      <c r="AL137" s="491">
        <f t="shared" si="69"/>
        <v>-0.31605172054822933</v>
      </c>
      <c r="AM137" s="492">
        <f t="shared" si="69"/>
        <v>-0.31121603353716409</v>
      </c>
    </row>
    <row r="138" spans="2:39" x14ac:dyDescent="0.25">
      <c r="AG138" s="367"/>
      <c r="AH138" s="367"/>
      <c r="AI138" s="367"/>
      <c r="AJ138" s="367"/>
      <c r="AK138" s="367"/>
      <c r="AL138" s="367"/>
    </row>
    <row r="139" spans="2:39" x14ac:dyDescent="0.25">
      <c r="AG139" s="367"/>
      <c r="AH139" s="367"/>
      <c r="AI139" s="367"/>
      <c r="AJ139" s="367"/>
      <c r="AK139" s="367"/>
      <c r="AL139" s="367"/>
    </row>
    <row r="140" spans="2:39" x14ac:dyDescent="0.25">
      <c r="AG140" s="367"/>
      <c r="AH140" s="367"/>
      <c r="AI140" s="367"/>
      <c r="AJ140" s="367"/>
      <c r="AK140" s="367"/>
      <c r="AL140" s="367"/>
    </row>
    <row r="141" spans="2:39" x14ac:dyDescent="0.25">
      <c r="AG141" s="367"/>
      <c r="AH141" s="367"/>
      <c r="AI141" s="367"/>
      <c r="AJ141" s="367"/>
      <c r="AK141" s="367"/>
      <c r="AL141" s="367"/>
    </row>
    <row r="142" spans="2:39" x14ac:dyDescent="0.25">
      <c r="AG142" s="367"/>
      <c r="AH142" s="367"/>
      <c r="AI142" s="367"/>
      <c r="AJ142" s="367"/>
      <c r="AK142" s="367"/>
      <c r="AL142" s="367"/>
    </row>
    <row r="143" spans="2:39" x14ac:dyDescent="0.25">
      <c r="AG143" s="367"/>
      <c r="AH143" s="367"/>
      <c r="AI143" s="367"/>
      <c r="AJ143" s="367"/>
      <c r="AK143" s="367"/>
      <c r="AL143" s="367"/>
    </row>
    <row r="144" spans="2:39" x14ac:dyDescent="0.25">
      <c r="AG144" s="367"/>
      <c r="AH144" s="367"/>
      <c r="AI144" s="367"/>
      <c r="AJ144" s="367"/>
      <c r="AK144" s="367"/>
      <c r="AL144" s="367"/>
    </row>
    <row r="145" spans="33:38" x14ac:dyDescent="0.25">
      <c r="AG145" s="367"/>
      <c r="AH145" s="367"/>
      <c r="AI145" s="367"/>
      <c r="AJ145" s="367"/>
      <c r="AK145" s="367"/>
      <c r="AL145" s="367"/>
    </row>
    <row r="146" spans="33:38" x14ac:dyDescent="0.25">
      <c r="AG146" s="367"/>
      <c r="AH146" s="367"/>
      <c r="AI146" s="367"/>
      <c r="AJ146" s="367"/>
      <c r="AK146" s="367"/>
      <c r="AL146" s="367"/>
    </row>
  </sheetData>
  <mergeCells count="65">
    <mergeCell ref="C130:D131"/>
    <mergeCell ref="C132:D133"/>
    <mergeCell ref="C134:D135"/>
    <mergeCell ref="C136:D137"/>
    <mergeCell ref="B1:AL1"/>
    <mergeCell ref="B85:I85"/>
    <mergeCell ref="B86:I86"/>
    <mergeCell ref="B43:D43"/>
    <mergeCell ref="B44:D44"/>
    <mergeCell ref="B45:D45"/>
    <mergeCell ref="B46:D46"/>
    <mergeCell ref="B47:D47"/>
    <mergeCell ref="B17:I17"/>
    <mergeCell ref="B18:I18"/>
    <mergeCell ref="D21:I21"/>
    <mergeCell ref="B30:I30"/>
    <mergeCell ref="B31:I31"/>
    <mergeCell ref="B35:I35"/>
    <mergeCell ref="B36:I36"/>
    <mergeCell ref="B39:I39"/>
    <mergeCell ref="A99:A101"/>
    <mergeCell ref="B99:B101"/>
    <mergeCell ref="C99:C101"/>
    <mergeCell ref="A93:A95"/>
    <mergeCell ref="B93:B95"/>
    <mergeCell ref="C93:C95"/>
    <mergeCell ref="A96:A98"/>
    <mergeCell ref="B96:B98"/>
    <mergeCell ref="C96:C98"/>
    <mergeCell ref="B32:I32"/>
    <mergeCell ref="B33:I33"/>
    <mergeCell ref="B34:I34"/>
    <mergeCell ref="D3:I3"/>
    <mergeCell ref="B12:I12"/>
    <mergeCell ref="B13:I13"/>
    <mergeCell ref="B14:I14"/>
    <mergeCell ref="B16:I16"/>
    <mergeCell ref="B15:I15"/>
    <mergeCell ref="B50:D50"/>
    <mergeCell ref="B51:D51"/>
    <mergeCell ref="B52:D52"/>
    <mergeCell ref="B53:D53"/>
    <mergeCell ref="B54:D54"/>
    <mergeCell ref="C76:D77"/>
    <mergeCell ref="C78:D79"/>
    <mergeCell ref="C80:D81"/>
    <mergeCell ref="C82:D83"/>
    <mergeCell ref="B55:D55"/>
    <mergeCell ref="B56:D56"/>
    <mergeCell ref="C64:D65"/>
    <mergeCell ref="C66:D67"/>
    <mergeCell ref="C68:D69"/>
    <mergeCell ref="C70:D71"/>
    <mergeCell ref="C72:D73"/>
    <mergeCell ref="C74:D75"/>
    <mergeCell ref="C108:D109"/>
    <mergeCell ref="C110:D111"/>
    <mergeCell ref="C112:D113"/>
    <mergeCell ref="C114:D115"/>
    <mergeCell ref="C116:D117"/>
    <mergeCell ref="C118:D119"/>
    <mergeCell ref="C120:D121"/>
    <mergeCell ref="C122:D123"/>
    <mergeCell ref="C124:D125"/>
    <mergeCell ref="C126:D127"/>
  </mergeCells>
  <conditionalFormatting sqref="AT70">
    <cfRule type="colorScale" priority="4">
      <colorScale>
        <cfvo type="min"/>
        <cfvo type="percentile" val="50"/>
        <cfvo type="max"/>
        <color rgb="FFF8696B"/>
        <color rgb="FFFFEB84"/>
        <color rgb="FF63BE7B"/>
      </colorScale>
    </cfRule>
  </conditionalFormatting>
  <conditionalFormatting sqref="AT74">
    <cfRule type="colorScale" priority="1">
      <colorScale>
        <cfvo type="min"/>
        <cfvo type="percentile" val="50"/>
        <cfvo type="max"/>
        <color rgb="FFF8696B"/>
        <color rgb="FFFFEB84"/>
        <color rgb="FF63BE7B"/>
      </colorScale>
    </cfRule>
  </conditionalFormatting>
  <pageMargins left="0.7" right="0.7" top="0.75" bottom="0.75" header="0.51180555555555496" footer="0.51180555555555496"/>
  <pageSetup paperSize="8" scale="44" firstPageNumber="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5"/>
  <sheetViews>
    <sheetView view="pageBreakPreview" topLeftCell="B13" zoomScale="55" zoomScaleNormal="69" zoomScaleSheetLayoutView="55" workbookViewId="0">
      <pane xSplit="4" topLeftCell="F1" activePane="topRight" state="frozen"/>
      <selection activeCell="B5" sqref="B5"/>
      <selection pane="topRight" activeCell="M22" sqref="M22"/>
    </sheetView>
  </sheetViews>
  <sheetFormatPr baseColWidth="10" defaultColWidth="11.42578125" defaultRowHeight="15" x14ac:dyDescent="0.25"/>
  <cols>
    <col min="1" max="1" width="11.42578125" style="14"/>
    <col min="2" max="2" width="30.140625" style="14" customWidth="1"/>
    <col min="3" max="3" width="28.42578125" style="14" customWidth="1"/>
    <col min="4" max="4" width="10.5703125" style="14" bestFit="1" customWidth="1"/>
    <col min="5" max="5" width="12.7109375" style="14" customWidth="1"/>
    <col min="6" max="8" width="12.7109375" style="14" bestFit="1" customWidth="1"/>
    <col min="9" max="9" width="15.42578125" style="14" customWidth="1"/>
    <col min="10" max="10" width="17.42578125" style="14" bestFit="1" customWidth="1"/>
    <col min="11" max="11" width="15" style="14" bestFit="1" customWidth="1"/>
    <col min="12" max="12" width="12.7109375" style="14" customWidth="1"/>
    <col min="13" max="21" width="12.85546875" style="14" customWidth="1"/>
    <col min="22" max="22" width="15.28515625" style="14" customWidth="1"/>
    <col min="23" max="26" width="11.42578125" style="14"/>
    <col min="27" max="27" width="12.28515625" style="14" customWidth="1"/>
    <col min="28" max="28" width="12.42578125" style="14" bestFit="1" customWidth="1"/>
    <col min="29" max="34" width="12.42578125" style="14" customWidth="1"/>
    <col min="35" max="16384" width="11.42578125" style="14"/>
  </cols>
  <sheetData>
    <row r="1" spans="2:40" ht="23.25" x14ac:dyDescent="0.35">
      <c r="B1" s="1084" t="s">
        <v>212</v>
      </c>
      <c r="C1" s="1084"/>
      <c r="D1" s="1084"/>
      <c r="E1" s="1084"/>
      <c r="F1" s="1084"/>
      <c r="G1" s="1084"/>
      <c r="H1" s="1084"/>
      <c r="I1" s="1084"/>
      <c r="J1" s="1084"/>
      <c r="K1" s="1084"/>
      <c r="L1" s="1084"/>
      <c r="M1" s="1084"/>
      <c r="N1" s="1084"/>
      <c r="O1" s="1084"/>
      <c r="P1" s="1084"/>
      <c r="Q1" s="1084"/>
      <c r="R1" s="1084"/>
      <c r="S1" s="1084"/>
      <c r="T1" s="1084"/>
      <c r="U1" s="1084"/>
      <c r="V1" s="1084"/>
      <c r="W1" s="1084"/>
      <c r="X1" s="1084"/>
      <c r="Y1" s="1084"/>
      <c r="Z1" s="1084"/>
      <c r="AA1" s="1084"/>
      <c r="AB1" s="1084"/>
      <c r="AC1" s="1084"/>
      <c r="AD1" s="1084"/>
      <c r="AE1" s="1084"/>
      <c r="AF1" s="1084"/>
      <c r="AG1" s="1084"/>
      <c r="AH1" s="1084"/>
      <c r="AI1" s="1084"/>
      <c r="AJ1" s="1084"/>
      <c r="AK1" s="1084"/>
      <c r="AL1" s="1084"/>
      <c r="AM1" s="1084"/>
      <c r="AN1" s="1084"/>
    </row>
    <row r="2" spans="2:40" ht="32.25" customHeight="1" x14ac:dyDescent="0.25">
      <c r="B2" s="2" t="s">
        <v>0</v>
      </c>
      <c r="C2" s="2"/>
      <c r="D2" s="2"/>
      <c r="E2" s="1087" t="s">
        <v>1</v>
      </c>
      <c r="F2" s="1087"/>
      <c r="G2" s="1087"/>
      <c r="H2" s="1087"/>
      <c r="I2" s="1087"/>
      <c r="J2" s="1087"/>
      <c r="K2" s="15"/>
      <c r="L2" s="15"/>
      <c r="M2" s="15"/>
      <c r="N2" s="882" t="s">
        <v>331</v>
      </c>
      <c r="O2" s="882"/>
      <c r="P2" s="882"/>
      <c r="Q2" s="882"/>
      <c r="R2" s="882"/>
      <c r="S2" s="882"/>
    </row>
    <row r="3" spans="2:40" x14ac:dyDescent="0.25">
      <c r="B3" s="3" t="s">
        <v>2</v>
      </c>
      <c r="C3" s="3" t="s">
        <v>3</v>
      </c>
      <c r="D3" s="4"/>
      <c r="E3" s="67">
        <v>2014</v>
      </c>
      <c r="F3" s="67">
        <v>2015</v>
      </c>
      <c r="G3" s="67">
        <v>2016</v>
      </c>
      <c r="H3" s="67">
        <v>2017</v>
      </c>
      <c r="I3" s="67">
        <v>2018</v>
      </c>
      <c r="J3" s="67">
        <v>2019</v>
      </c>
      <c r="K3" s="67">
        <v>2020</v>
      </c>
      <c r="L3" s="289" t="s">
        <v>3</v>
      </c>
      <c r="M3" s="289"/>
      <c r="N3" s="287">
        <v>2014</v>
      </c>
      <c r="O3" s="287">
        <v>2015</v>
      </c>
      <c r="P3" s="287">
        <v>2016</v>
      </c>
      <c r="Q3" s="287" t="s">
        <v>327</v>
      </c>
      <c r="R3" s="287" t="s">
        <v>328</v>
      </c>
      <c r="S3" s="287" t="s">
        <v>347</v>
      </c>
      <c r="T3" s="222" t="s">
        <v>363</v>
      </c>
      <c r="U3" s="68"/>
      <c r="V3" s="68"/>
      <c r="W3" s="68"/>
      <c r="X3" s="68"/>
      <c r="Y3" s="222" t="s">
        <v>337</v>
      </c>
      <c r="AC3" s="68"/>
      <c r="AD3" s="68"/>
      <c r="AE3" s="68"/>
      <c r="AF3" s="68"/>
      <c r="AG3" s="68"/>
      <c r="AH3" s="68"/>
    </row>
    <row r="4" spans="2:40" x14ac:dyDescent="0.25">
      <c r="B4" s="5" t="s">
        <v>266</v>
      </c>
      <c r="C4" s="6" t="s">
        <v>132</v>
      </c>
      <c r="D4" s="193"/>
      <c r="E4" s="339">
        <f>1755925590/100000000</f>
        <v>17.5592559</v>
      </c>
      <c r="F4" s="339">
        <f>1347264806/100000000</f>
        <v>13.472648059999999</v>
      </c>
      <c r="G4" s="339">
        <f>1374440032/100000000</f>
        <v>13.74440032</v>
      </c>
      <c r="H4" s="339">
        <f>1515098946/100000000</f>
        <v>15.15098946</v>
      </c>
      <c r="I4" s="339">
        <f>1556783264/100000000</f>
        <v>15.567832640000001</v>
      </c>
      <c r="J4" s="441">
        <v>14.36132871</v>
      </c>
      <c r="K4" s="443">
        <f>1342461759/100000000</f>
        <v>13.42461759</v>
      </c>
      <c r="L4" s="289" t="s">
        <v>132</v>
      </c>
      <c r="M4" s="289"/>
      <c r="N4" s="288">
        <v>18.601697999999999</v>
      </c>
      <c r="O4" s="288">
        <v>18.996669000000001</v>
      </c>
      <c r="P4" s="288">
        <v>16.912049</v>
      </c>
      <c r="Q4" s="288">
        <v>17.188251999999999</v>
      </c>
      <c r="R4" s="288">
        <v>18.030958999999999</v>
      </c>
      <c r="S4" s="288">
        <v>17.8</v>
      </c>
      <c r="T4" s="68"/>
      <c r="U4" s="68"/>
      <c r="V4" s="68" t="s">
        <v>338</v>
      </c>
      <c r="W4" s="68" t="s">
        <v>339</v>
      </c>
      <c r="Y4" s="68" t="s">
        <v>338</v>
      </c>
      <c r="Z4" s="68" t="s">
        <v>339</v>
      </c>
    </row>
    <row r="5" spans="2:40" x14ac:dyDescent="0.25">
      <c r="B5" s="5" t="s">
        <v>4</v>
      </c>
      <c r="C5" s="6" t="s">
        <v>166</v>
      </c>
      <c r="D5" s="193"/>
      <c r="E5" s="292">
        <f>E4*80000</f>
        <v>1404740.4720000001</v>
      </c>
      <c r="F5" s="292">
        <f t="shared" ref="F5:I5" si="0">F4*80000</f>
        <v>1077811.8447999998</v>
      </c>
      <c r="G5" s="292">
        <f t="shared" si="0"/>
        <v>1099552.0256000001</v>
      </c>
      <c r="H5" s="292">
        <f t="shared" si="0"/>
        <v>1212079.1568</v>
      </c>
      <c r="I5" s="292">
        <f t="shared" si="0"/>
        <v>1245426.6112000002</v>
      </c>
      <c r="J5" s="440">
        <v>1148906.2968000001</v>
      </c>
      <c r="K5" s="443">
        <f>K4*80000</f>
        <v>1073969.4072</v>
      </c>
      <c r="L5" s="289" t="s">
        <v>166</v>
      </c>
      <c r="M5" s="289"/>
      <c r="N5" s="288">
        <f>N4*80000</f>
        <v>1488135.8399999999</v>
      </c>
      <c r="O5" s="288">
        <f>O4*80000</f>
        <v>1519733.52</v>
      </c>
      <c r="P5" s="288">
        <f>P4*80000</f>
        <v>1352963.92</v>
      </c>
      <c r="Q5" s="288">
        <f>Q4*80000</f>
        <v>1375060.16</v>
      </c>
      <c r="R5" s="288">
        <f>R4*80000</f>
        <v>1442476.72</v>
      </c>
      <c r="S5" s="288">
        <v>1424000</v>
      </c>
      <c r="T5" s="207" t="s">
        <v>232</v>
      </c>
      <c r="U5" s="207"/>
      <c r="V5" s="340">
        <f>AO57</f>
        <v>10958.099</v>
      </c>
      <c r="W5" s="341">
        <f>AO58</f>
        <v>8.9960170000000002</v>
      </c>
      <c r="Y5" s="340">
        <f>AN57</f>
        <v>1.165</v>
      </c>
      <c r="Z5" s="341">
        <f>AN58</f>
        <v>5.4310000000000001E-3</v>
      </c>
      <c r="AC5" s="68"/>
      <c r="AD5" s="68"/>
      <c r="AE5" s="68"/>
      <c r="AF5" s="68"/>
      <c r="AG5" s="68"/>
      <c r="AH5" s="68"/>
    </row>
    <row r="6" spans="2:40" x14ac:dyDescent="0.25">
      <c r="B6" s="7" t="s">
        <v>200</v>
      </c>
      <c r="C6" s="191">
        <v>1000</v>
      </c>
      <c r="D6" s="193"/>
      <c r="E6" s="292">
        <f>1023259549/1000</f>
        <v>1023259.549</v>
      </c>
      <c r="F6" s="292">
        <f>743341050/1000</f>
        <v>743341.05</v>
      </c>
      <c r="G6" s="292">
        <f>770161365/1000</f>
        <v>770161.36499999999</v>
      </c>
      <c r="H6" s="292">
        <f>836123243/1000</f>
        <v>836123.24300000002</v>
      </c>
      <c r="I6" s="292">
        <f>835184610/1000</f>
        <v>835184.61</v>
      </c>
      <c r="J6" s="440">
        <v>831900.01699999999</v>
      </c>
      <c r="K6" s="443">
        <f>854911231/1000</f>
        <v>854911.23100000003</v>
      </c>
      <c r="L6" s="290">
        <v>1000</v>
      </c>
      <c r="M6" s="290"/>
      <c r="N6" s="287"/>
      <c r="O6" s="287"/>
      <c r="P6" s="287"/>
      <c r="Q6" s="287"/>
      <c r="R6" s="287"/>
      <c r="S6" s="287" t="s">
        <v>23</v>
      </c>
      <c r="T6" s="544" t="s">
        <v>245</v>
      </c>
      <c r="V6" s="546">
        <f>V5/J8</f>
        <v>1.225109526597172E-2</v>
      </c>
    </row>
    <row r="7" spans="2:40" x14ac:dyDescent="0.25">
      <c r="B7" s="7" t="s">
        <v>201</v>
      </c>
      <c r="C7" s="6" t="s">
        <v>132</v>
      </c>
      <c r="D7" s="193"/>
      <c r="E7" s="339">
        <f>1139366775/100000000</f>
        <v>11.393667750000001</v>
      </c>
      <c r="F7" s="339">
        <f>682013939/100000000</f>
        <v>6.8201393899999996</v>
      </c>
      <c r="G7" s="339">
        <f>846456735/100000000</f>
        <v>8.4645673499999994</v>
      </c>
      <c r="H7" s="339">
        <f>1097055651/100000000</f>
        <v>10.97055651</v>
      </c>
      <c r="I7" s="339">
        <f>1030240525/100000000</f>
        <v>10.30240525</v>
      </c>
      <c r="J7" s="441">
        <v>11.18073401</v>
      </c>
      <c r="K7" s="443">
        <f>1145754434/100000000</f>
        <v>11.45754434</v>
      </c>
      <c r="L7" s="289" t="s">
        <v>132</v>
      </c>
      <c r="M7" s="289"/>
      <c r="N7" s="288">
        <v>10.439845999999999</v>
      </c>
      <c r="O7" s="288">
        <v>9.9731210000000008</v>
      </c>
      <c r="P7" s="288">
        <v>10.030150000000001</v>
      </c>
      <c r="Q7" s="288">
        <v>9.4827729999999999</v>
      </c>
      <c r="R7" s="288">
        <v>9.9328500000000002</v>
      </c>
      <c r="S7" s="288">
        <v>10.8</v>
      </c>
      <c r="T7" s="207" t="s">
        <v>253</v>
      </c>
      <c r="U7" s="207"/>
      <c r="V7" s="340">
        <f>AO55</f>
        <v>171.24800000000002</v>
      </c>
      <c r="W7" s="341">
        <f>AO56</f>
        <v>0.28877299999999995</v>
      </c>
      <c r="Y7" s="340">
        <f>AN55</f>
        <v>17.896000000000001</v>
      </c>
      <c r="Z7" s="341">
        <f>AN56</f>
        <v>3.2912000000000004E-2</v>
      </c>
    </row>
    <row r="8" spans="2:40" x14ac:dyDescent="0.25">
      <c r="B8" s="7" t="s">
        <v>8</v>
      </c>
      <c r="C8" s="6" t="s">
        <v>166</v>
      </c>
      <c r="D8" s="193"/>
      <c r="E8" s="292">
        <f>E7*80000</f>
        <v>911493.42</v>
      </c>
      <c r="F8" s="292">
        <f t="shared" ref="F8:I8" si="1">F7*80000</f>
        <v>545611.15119999996</v>
      </c>
      <c r="G8" s="292">
        <f t="shared" si="1"/>
        <v>677165.38799999992</v>
      </c>
      <c r="H8" s="292">
        <f t="shared" si="1"/>
        <v>877644.52079999994</v>
      </c>
      <c r="I8" s="292">
        <f t="shared" si="1"/>
        <v>824192.41999999993</v>
      </c>
      <c r="J8" s="440">
        <v>894458.72080000001</v>
      </c>
      <c r="K8" s="443">
        <f t="shared" ref="K8" si="2">K7*80000</f>
        <v>916603.54720000003</v>
      </c>
      <c r="L8" s="289" t="s">
        <v>166</v>
      </c>
      <c r="M8" s="289"/>
      <c r="N8" s="288">
        <f>N7*80000</f>
        <v>835187.67999999993</v>
      </c>
      <c r="O8" s="288">
        <f>O7*80000</f>
        <v>797849.68</v>
      </c>
      <c r="P8" s="288">
        <f>P7*80000</f>
        <v>802412.00000000012</v>
      </c>
      <c r="Q8" s="288">
        <f>Q7*80000</f>
        <v>758621.84</v>
      </c>
      <c r="R8" s="288">
        <f>R7*80000</f>
        <v>794628</v>
      </c>
      <c r="S8" s="288">
        <v>864000</v>
      </c>
      <c r="T8" s="544"/>
      <c r="U8" s="15"/>
      <c r="V8" s="15"/>
      <c r="W8" s="15"/>
      <c r="Y8" s="15"/>
      <c r="Z8" s="15"/>
    </row>
    <row r="9" spans="2:40" x14ac:dyDescent="0.25">
      <c r="B9" s="7" t="s">
        <v>142</v>
      </c>
      <c r="C9" s="191">
        <v>1000</v>
      </c>
      <c r="D9" s="193"/>
      <c r="E9" s="292">
        <f>654617659/1000</f>
        <v>654617.65899999999</v>
      </c>
      <c r="F9" s="292">
        <f>325724370/1000</f>
        <v>325724.37</v>
      </c>
      <c r="G9" s="292">
        <f>436090265/1000</f>
        <v>436090.26500000001</v>
      </c>
      <c r="H9" s="292">
        <f>566826553/1000</f>
        <v>566826.55299999996</v>
      </c>
      <c r="I9" s="292">
        <f>535756650/1000</f>
        <v>535756.65</v>
      </c>
      <c r="J9" s="440">
        <v>605446.74699999997</v>
      </c>
      <c r="K9" s="443">
        <f>667533832/1000</f>
        <v>667533.83200000005</v>
      </c>
      <c r="L9" s="290">
        <v>1000</v>
      </c>
      <c r="M9" s="290"/>
      <c r="N9" s="287"/>
      <c r="O9" s="287"/>
      <c r="P9" s="287"/>
      <c r="Q9" s="287"/>
      <c r="R9" s="287"/>
      <c r="S9" s="287"/>
      <c r="T9" s="207" t="s">
        <v>231</v>
      </c>
      <c r="U9" s="207"/>
      <c r="V9" s="340">
        <f>AO69</f>
        <v>71225.899999999994</v>
      </c>
      <c r="W9" s="341">
        <f>AO70</f>
        <v>44.973412999999994</v>
      </c>
      <c r="Y9" s="340">
        <f>AN69</f>
        <v>12458.7</v>
      </c>
      <c r="Z9" s="341">
        <f>AN70</f>
        <v>7.269177</v>
      </c>
    </row>
    <row r="10" spans="2:40" ht="15" customHeight="1" x14ac:dyDescent="0.25">
      <c r="B10" s="286" t="s">
        <v>326</v>
      </c>
      <c r="E10" s="15"/>
      <c r="F10" s="15"/>
      <c r="G10" s="15"/>
      <c r="H10" s="15"/>
      <c r="I10" s="15"/>
      <c r="J10" s="15"/>
      <c r="K10" s="884"/>
      <c r="L10" s="883" t="s">
        <v>329</v>
      </c>
      <c r="M10" s="883"/>
      <c r="N10" s="883"/>
      <c r="O10" s="883"/>
      <c r="P10" s="883"/>
      <c r="Q10" s="883"/>
      <c r="R10" s="883"/>
      <c r="S10" s="883"/>
      <c r="T10" s="207" t="s">
        <v>251</v>
      </c>
      <c r="U10" s="207"/>
      <c r="V10" s="340">
        <f>AO67</f>
        <v>1037</v>
      </c>
      <c r="W10" s="341">
        <f>AO68</f>
        <v>1.713341</v>
      </c>
      <c r="Y10" s="340">
        <f>AN67</f>
        <v>265.60000000000002</v>
      </c>
      <c r="Z10" s="341">
        <f>AN68</f>
        <v>0.55922300000000003</v>
      </c>
    </row>
    <row r="11" spans="2:40" x14ac:dyDescent="0.25">
      <c r="B11" s="241" t="s">
        <v>323</v>
      </c>
      <c r="E11" s="15"/>
      <c r="F11" s="15"/>
      <c r="G11" s="15"/>
      <c r="H11" s="15"/>
      <c r="I11" s="15"/>
      <c r="J11" s="15"/>
      <c r="K11" s="885"/>
      <c r="L11" s="882"/>
      <c r="M11" s="882"/>
      <c r="N11" s="882"/>
      <c r="O11" s="882"/>
      <c r="P11" s="882"/>
      <c r="Q11" s="882"/>
      <c r="R11" s="882"/>
      <c r="S11" s="882"/>
      <c r="T11" s="68"/>
      <c r="U11" s="68"/>
      <c r="V11" s="223"/>
      <c r="W11" s="68"/>
      <c r="Y11" s="223"/>
      <c r="Z11" s="68"/>
    </row>
    <row r="12" spans="2:40" x14ac:dyDescent="0.25">
      <c r="B12" s="241"/>
      <c r="E12" s="15"/>
      <c r="F12" s="15"/>
      <c r="G12" s="15"/>
      <c r="H12" s="15"/>
      <c r="I12" s="15"/>
      <c r="J12" s="15"/>
      <c r="K12" s="15"/>
      <c r="L12" s="14" t="s">
        <v>330</v>
      </c>
      <c r="T12" s="207" t="s">
        <v>320</v>
      </c>
      <c r="U12" s="68"/>
      <c r="V12" s="340">
        <f>AO61</f>
        <v>74020.911000000007</v>
      </c>
      <c r="W12" s="341">
        <f>AO62</f>
        <v>46.197894000000005</v>
      </c>
      <c r="Y12" s="340">
        <f>AN61</f>
        <v>68357.28899999999</v>
      </c>
      <c r="Z12" s="341">
        <f>AN62</f>
        <v>39.561588999999998</v>
      </c>
    </row>
    <row r="13" spans="2:40" x14ac:dyDescent="0.25">
      <c r="E13" s="15"/>
      <c r="F13" s="15"/>
      <c r="G13" s="15"/>
      <c r="H13" s="15"/>
      <c r="I13" s="15"/>
      <c r="J13" s="15"/>
      <c r="T13" s="68" t="s">
        <v>246</v>
      </c>
      <c r="U13" s="68"/>
      <c r="V13" s="224">
        <f>V12/J5</f>
        <v>6.4427282891709542E-2</v>
      </c>
      <c r="W13" s="15"/>
      <c r="Y13" s="224">
        <f>Y12/I5</f>
        <v>5.4886645576117894E-2</v>
      </c>
      <c r="Z13" s="15"/>
    </row>
    <row r="14" spans="2:40" x14ac:dyDescent="0.25">
      <c r="B14" s="2" t="s">
        <v>19</v>
      </c>
      <c r="C14" s="2"/>
      <c r="D14" s="2"/>
      <c r="E14" s="291"/>
      <c r="F14" s="291"/>
      <c r="G14" s="291"/>
      <c r="H14" s="291"/>
      <c r="I14" s="291"/>
      <c r="J14" s="291"/>
      <c r="T14" s="240" t="s">
        <v>248</v>
      </c>
      <c r="U14" s="15"/>
      <c r="V14" s="225">
        <f>LINEST(F61:AG61,F53:AG53)/AVERAGE(F61:AG61)</f>
        <v>-2.3805921721344554E-2</v>
      </c>
      <c r="W14" s="15"/>
      <c r="Y14" s="225"/>
      <c r="Z14" s="15"/>
    </row>
    <row r="15" spans="2:40" x14ac:dyDescent="0.25">
      <c r="B15"/>
      <c r="C15"/>
      <c r="D15"/>
      <c r="E15" s="1087" t="s">
        <v>1</v>
      </c>
      <c r="F15" s="1087"/>
      <c r="G15" s="1087"/>
      <c r="H15" s="1087"/>
      <c r="I15" s="1087"/>
      <c r="J15" s="1087"/>
      <c r="T15" s="207" t="s">
        <v>293</v>
      </c>
      <c r="U15" s="68"/>
      <c r="V15" s="340">
        <f>AO59</f>
        <v>57034.245000000003</v>
      </c>
      <c r="W15" s="341">
        <f>AO60</f>
        <v>64.011467999999994</v>
      </c>
      <c r="Y15" s="340">
        <f>AN59</f>
        <v>47123.82</v>
      </c>
      <c r="Z15" s="341">
        <f>AN60</f>
        <v>55.108063000000001</v>
      </c>
    </row>
    <row r="16" spans="2:40" x14ac:dyDescent="0.25">
      <c r="B16" s="363" t="s">
        <v>2</v>
      </c>
      <c r="C16" s="363" t="s">
        <v>3</v>
      </c>
      <c r="D16" s="371"/>
      <c r="E16" s="370">
        <v>2014</v>
      </c>
      <c r="F16" s="370">
        <v>2015</v>
      </c>
      <c r="G16" s="370">
        <v>2016</v>
      </c>
      <c r="H16" s="370">
        <v>2017</v>
      </c>
      <c r="I16" s="370">
        <v>2018</v>
      </c>
      <c r="J16" s="370">
        <v>2019</v>
      </c>
      <c r="K16" s="370">
        <v>2020</v>
      </c>
      <c r="T16" s="68" t="s">
        <v>246</v>
      </c>
      <c r="U16" s="68"/>
      <c r="V16" s="224">
        <f>V15/J5</f>
        <v>4.9642207688177058E-2</v>
      </c>
      <c r="W16" s="15"/>
      <c r="Y16" s="224">
        <f>Y15/I5</f>
        <v>3.7837492451357695E-2</v>
      </c>
      <c r="Z16" s="15"/>
    </row>
    <row r="17" spans="1:26" x14ac:dyDescent="0.25">
      <c r="B17" s="356" t="s">
        <v>266</v>
      </c>
      <c r="C17" s="357" t="s">
        <v>132</v>
      </c>
      <c r="D17" s="362"/>
      <c r="E17" s="377">
        <f>4626539574/100000000</f>
        <v>46.265395740000002</v>
      </c>
      <c r="F17" s="377">
        <f>4286730680/100000000</f>
        <v>42.867306800000001</v>
      </c>
      <c r="G17" s="377">
        <f>4198655055/100000000</f>
        <v>41.986550549999997</v>
      </c>
      <c r="H17" s="377">
        <f>4278155912/100000000</f>
        <v>42.781559119999997</v>
      </c>
      <c r="I17" s="377">
        <f>4565693552/100000000</f>
        <v>45.656935519999998</v>
      </c>
      <c r="J17" s="377">
        <f>4900416900/100000000</f>
        <v>49.004168999999997</v>
      </c>
      <c r="K17" s="377">
        <f>4853959428/100000000</f>
        <v>48.539594280000003</v>
      </c>
      <c r="T17" s="240" t="s">
        <v>248</v>
      </c>
      <c r="U17" s="15"/>
      <c r="V17" s="225">
        <f>LINEST(F59:AG59,F53:AG53)/AVERAGE(F59:AG59)</f>
        <v>4.5921613568607494E-2</v>
      </c>
      <c r="W17" s="15"/>
      <c r="Y17" s="225"/>
      <c r="Z17" s="15"/>
    </row>
    <row r="18" spans="1:26" x14ac:dyDescent="0.25">
      <c r="B18" s="356" t="s">
        <v>4</v>
      </c>
      <c r="C18" s="357" t="s">
        <v>166</v>
      </c>
      <c r="D18" s="362"/>
      <c r="E18" s="345">
        <f>E17*80000</f>
        <v>3701231.6592000001</v>
      </c>
      <c r="F18" s="345">
        <f t="shared" ref="F18:K18" si="3">F17*80000</f>
        <v>3429384.5440000002</v>
      </c>
      <c r="G18" s="345">
        <f t="shared" si="3"/>
        <v>3358924.0439999998</v>
      </c>
      <c r="H18" s="377">
        <f t="shared" si="3"/>
        <v>3422524.7295999997</v>
      </c>
      <c r="I18" s="377">
        <f t="shared" si="3"/>
        <v>3652554.8415999999</v>
      </c>
      <c r="J18" s="377">
        <f t="shared" si="3"/>
        <v>3920333.52</v>
      </c>
      <c r="K18" s="377">
        <f t="shared" si="3"/>
        <v>3883167.5424000002</v>
      </c>
      <c r="U18" s="15"/>
      <c r="V18" s="15"/>
      <c r="W18" s="15"/>
      <c r="Y18" s="15"/>
      <c r="Z18" s="15"/>
    </row>
    <row r="19" spans="1:26" x14ac:dyDescent="0.25">
      <c r="B19" s="356" t="s">
        <v>200</v>
      </c>
      <c r="C19" s="378">
        <v>1000</v>
      </c>
      <c r="D19" s="362"/>
      <c r="E19" s="345">
        <f>2718901037/1000</f>
        <v>2718901.037</v>
      </c>
      <c r="F19" s="345">
        <f>2574864228/1000</f>
        <v>2574864.2280000001</v>
      </c>
      <c r="G19" s="345">
        <f>2389628586/1000</f>
        <v>2389628.5860000001</v>
      </c>
      <c r="H19" s="377">
        <f>2452804052/1000</f>
        <v>2452804.0520000001</v>
      </c>
      <c r="I19" s="377">
        <f>2559972704/1000</f>
        <v>2559972.7039999999</v>
      </c>
      <c r="J19" s="377">
        <f>2861380033/1000</f>
        <v>2861380.0329999998</v>
      </c>
      <c r="K19" s="377">
        <f>2954943527/1000</f>
        <v>2954943.5269999998</v>
      </c>
      <c r="T19" s="207" t="s">
        <v>306</v>
      </c>
      <c r="U19" s="68"/>
      <c r="V19" s="340">
        <f>AO65</f>
        <v>429463.67799999996</v>
      </c>
      <c r="W19" s="341">
        <f>AO66</f>
        <v>338.76358400000004</v>
      </c>
      <c r="Y19" s="340">
        <f>AN65</f>
        <v>393117.06300000002</v>
      </c>
      <c r="Z19" s="341">
        <f>AN66</f>
        <v>284.62648000000002</v>
      </c>
    </row>
    <row r="20" spans="1:26" x14ac:dyDescent="0.25">
      <c r="B20" s="356" t="s">
        <v>201</v>
      </c>
      <c r="C20" s="357" t="s">
        <v>132</v>
      </c>
      <c r="D20" s="362"/>
      <c r="E20" s="377">
        <f>4994931868/100000000</f>
        <v>49.949318679999998</v>
      </c>
      <c r="F20" s="377">
        <f>4671653508/100000000</f>
        <v>46.71653508</v>
      </c>
      <c r="G20" s="377">
        <f>4543208744/100000000</f>
        <v>45.432087439999997</v>
      </c>
      <c r="H20" s="377">
        <f>4608843054/100000000</f>
        <v>46.088430539999997</v>
      </c>
      <c r="I20" s="377">
        <f>4943706382/100000000</f>
        <v>49.437063819999999</v>
      </c>
      <c r="J20" s="377">
        <f>5696152358/100000000</f>
        <v>56.961523579999998</v>
      </c>
      <c r="K20" s="377">
        <f>5299058837/100000000</f>
        <v>52.990588369999998</v>
      </c>
      <c r="T20" s="68" t="s">
        <v>246</v>
      </c>
      <c r="U20" s="15"/>
      <c r="V20" s="224">
        <f>V19/J5</f>
        <v>0.37380217968703527</v>
      </c>
      <c r="W20" s="15"/>
      <c r="Y20" s="224">
        <f>Y19/I5</f>
        <v>0.31564851711432579</v>
      </c>
      <c r="Z20" s="15"/>
    </row>
    <row r="21" spans="1:26" x14ac:dyDescent="0.25">
      <c r="B21" s="356" t="s">
        <v>201</v>
      </c>
      <c r="C21" s="357" t="s">
        <v>166</v>
      </c>
      <c r="D21" s="362"/>
      <c r="E21" s="345">
        <f>E20*80000</f>
        <v>3995945.4943999997</v>
      </c>
      <c r="F21" s="345">
        <f t="shared" ref="F21:K21" si="4">F20*80000</f>
        <v>3737322.8064000001</v>
      </c>
      <c r="G21" s="345">
        <f t="shared" si="4"/>
        <v>3634566.9951999998</v>
      </c>
      <c r="H21" s="377">
        <f t="shared" si="4"/>
        <v>3687074.4431999996</v>
      </c>
      <c r="I21" s="377">
        <f t="shared" si="4"/>
        <v>3954965.1055999999</v>
      </c>
      <c r="J21" s="377">
        <f t="shared" si="4"/>
        <v>4556921.8864000002</v>
      </c>
      <c r="K21" s="377">
        <f t="shared" si="4"/>
        <v>4239247.0696</v>
      </c>
      <c r="T21" s="207" t="s">
        <v>307</v>
      </c>
      <c r="U21" s="68"/>
      <c r="V21" s="340">
        <f>AO63</f>
        <v>708420.43499999994</v>
      </c>
      <c r="W21" s="341">
        <f>AO64</f>
        <v>611.43274699999995</v>
      </c>
      <c r="Y21" s="340">
        <f>AN63</f>
        <v>711552.90800000005</v>
      </c>
      <c r="Z21" s="341">
        <f>AN64</f>
        <v>577.73857299999997</v>
      </c>
    </row>
    <row r="22" spans="1:26" x14ac:dyDescent="0.25">
      <c r="B22" s="356" t="s">
        <v>22</v>
      </c>
      <c r="C22" s="378">
        <v>1000</v>
      </c>
      <c r="D22" s="362"/>
      <c r="E22" s="345">
        <f>2895861987/1000</f>
        <v>2895861.9870000002</v>
      </c>
      <c r="F22" s="345">
        <f>2732575788/1000</f>
        <v>2732575.7880000002</v>
      </c>
      <c r="G22" s="345">
        <f>2558938316/1000</f>
        <v>2558938.3160000001</v>
      </c>
      <c r="H22" s="377">
        <f>2582733632/1000</f>
        <v>2582733.6320000002</v>
      </c>
      <c r="I22" s="377">
        <f>2724126484/1000</f>
        <v>2724126.4840000002</v>
      </c>
      <c r="J22" s="377">
        <f>3219957483/1000</f>
        <v>3219957.483</v>
      </c>
      <c r="K22" s="377">
        <f>3111311760/1000</f>
        <v>3111311.76</v>
      </c>
      <c r="T22" s="68" t="s">
        <v>246</v>
      </c>
      <c r="U22" s="15"/>
      <c r="V22" s="224">
        <f>V21/J5</f>
        <v>0.61660418867329148</v>
      </c>
      <c r="W22" s="15"/>
      <c r="Y22" s="224">
        <f>Y21/I5</f>
        <v>0.57133266753823475</v>
      </c>
      <c r="Z22" s="15"/>
    </row>
    <row r="23" spans="1:26" x14ac:dyDescent="0.25">
      <c r="B23" s="286" t="s">
        <v>325</v>
      </c>
      <c r="C23" s="242"/>
      <c r="D23" s="9"/>
      <c r="E23" s="244"/>
      <c r="F23" s="244"/>
      <c r="G23" s="244"/>
      <c r="H23" s="244"/>
      <c r="I23" s="244"/>
      <c r="J23" s="244"/>
      <c r="U23" s="15"/>
      <c r="V23" s="15"/>
      <c r="W23" s="15"/>
      <c r="Y23" s="15"/>
      <c r="Z23" s="15"/>
    </row>
    <row r="24" spans="1:26" x14ac:dyDescent="0.25">
      <c r="B24" s="241" t="s">
        <v>324</v>
      </c>
      <c r="C24" s="242"/>
      <c r="D24" s="9"/>
      <c r="E24" s="244"/>
      <c r="F24" s="244"/>
      <c r="G24" s="244"/>
      <c r="H24" s="244"/>
      <c r="I24" s="244"/>
      <c r="J24" s="244"/>
      <c r="T24" s="207" t="s">
        <v>162</v>
      </c>
      <c r="U24" s="207"/>
      <c r="V24" s="340">
        <f>AO73</f>
        <v>1332527.7000000002</v>
      </c>
      <c r="W24" s="341">
        <f>AO74</f>
        <v>946.61312100000009</v>
      </c>
      <c r="Y24" s="340">
        <f>AN73</f>
        <v>1042142.4000000001</v>
      </c>
      <c r="Z24" s="341">
        <f>AN74</f>
        <v>657.11727899999994</v>
      </c>
    </row>
    <row r="25" spans="1:26" x14ac:dyDescent="0.25">
      <c r="T25" s="68" t="s">
        <v>245</v>
      </c>
      <c r="U25" s="68"/>
      <c r="V25" s="224">
        <f>V24/J21</f>
        <v>0.29241837653107244</v>
      </c>
      <c r="W25" s="68"/>
      <c r="Y25" s="224">
        <f>Y24/I21</f>
        <v>0.26350229955869581</v>
      </c>
      <c r="Z25" s="68"/>
    </row>
    <row r="26" spans="1:26" x14ac:dyDescent="0.25">
      <c r="B26" s="17" t="s">
        <v>66</v>
      </c>
      <c r="C26" s="57"/>
      <c r="D26" s="58"/>
      <c r="E26" s="189">
        <v>2014</v>
      </c>
      <c r="F26" s="189">
        <v>2015</v>
      </c>
      <c r="G26" s="189">
        <v>2016</v>
      </c>
      <c r="H26" s="189">
        <v>2017</v>
      </c>
      <c r="I26" s="189">
        <v>2018</v>
      </c>
      <c r="J26" s="189">
        <v>2019</v>
      </c>
      <c r="K26" s="189">
        <v>2020</v>
      </c>
      <c r="T26" s="68" t="s">
        <v>248</v>
      </c>
      <c r="U26" s="15"/>
      <c r="V26" s="225">
        <f>LINEST(F73:AG73,F53:AG53)/AVERAGE(F73:AG73)</f>
        <v>9.1064191153585786E-2</v>
      </c>
      <c r="W26" s="15"/>
      <c r="Y26" s="225"/>
      <c r="Z26" s="15"/>
    </row>
    <row r="27" spans="1:26" x14ac:dyDescent="0.25">
      <c r="B27" s="17" t="s">
        <v>65</v>
      </c>
      <c r="E27" s="190">
        <v>918</v>
      </c>
      <c r="F27" s="190">
        <v>469</v>
      </c>
      <c r="G27" s="190">
        <v>377</v>
      </c>
      <c r="H27" s="190">
        <v>472</v>
      </c>
      <c r="I27" s="190">
        <v>589</v>
      </c>
      <c r="J27" s="190">
        <v>499</v>
      </c>
      <c r="K27" s="190"/>
      <c r="L27" s="16" t="s">
        <v>64</v>
      </c>
      <c r="R27" s="14" t="s">
        <v>32</v>
      </c>
      <c r="T27" s="207" t="s">
        <v>205</v>
      </c>
      <c r="U27" s="207"/>
      <c r="V27" s="340">
        <f>AO71</f>
        <v>570249.70000000007</v>
      </c>
      <c r="W27" s="341">
        <f>AO72</f>
        <v>608.84166200000004</v>
      </c>
      <c r="Y27" s="340">
        <f>AN71</f>
        <v>681181.9</v>
      </c>
      <c r="Z27" s="341">
        <f>AN72</f>
        <v>599.34130000000005</v>
      </c>
    </row>
    <row r="28" spans="1:26" x14ac:dyDescent="0.25">
      <c r="B28" s="17" t="s">
        <v>63</v>
      </c>
      <c r="C28" s="57"/>
      <c r="D28" s="58"/>
      <c r="E28" s="190">
        <v>562</v>
      </c>
      <c r="F28" s="190">
        <v>551</v>
      </c>
      <c r="G28" s="190">
        <v>508</v>
      </c>
      <c r="H28" s="190">
        <v>550</v>
      </c>
      <c r="I28" s="190">
        <v>480</v>
      </c>
      <c r="J28" s="190">
        <v>605</v>
      </c>
      <c r="K28" s="190"/>
      <c r="L28" s="16" t="s">
        <v>62</v>
      </c>
      <c r="R28" s="14" t="s">
        <v>32</v>
      </c>
      <c r="T28" s="68" t="s">
        <v>246</v>
      </c>
      <c r="U28" s="15"/>
      <c r="V28" s="224">
        <f>V27/J18</f>
        <v>0.14545948631431749</v>
      </c>
      <c r="W28" s="15"/>
      <c r="Y28" s="224">
        <f>Y27/I18</f>
        <v>0.1864946399275989</v>
      </c>
      <c r="Z28" s="15"/>
    </row>
    <row r="29" spans="1:26" x14ac:dyDescent="0.25">
      <c r="B29" s="17" t="s">
        <v>61</v>
      </c>
      <c r="E29" s="190">
        <v>452</v>
      </c>
      <c r="F29" s="190">
        <v>411</v>
      </c>
      <c r="G29" s="190">
        <v>486</v>
      </c>
      <c r="H29" s="190">
        <v>469</v>
      </c>
      <c r="I29" s="190">
        <v>425</v>
      </c>
      <c r="J29" s="190">
        <v>435</v>
      </c>
      <c r="K29" s="190"/>
      <c r="L29" s="18" t="s">
        <v>60</v>
      </c>
      <c r="R29" s="14" t="s">
        <v>59</v>
      </c>
      <c r="T29" s="68" t="s">
        <v>248</v>
      </c>
      <c r="U29" s="15"/>
      <c r="V29" s="225">
        <f>LINEST(F71:AG71,F53:AG53)/AVERAGE(F71:AG71)</f>
        <v>1.1807440154868889E-2</v>
      </c>
      <c r="W29" s="15"/>
      <c r="Y29" s="225"/>
      <c r="Z29" s="15"/>
    </row>
    <row r="30" spans="1:26" x14ac:dyDescent="0.25">
      <c r="B30" s="17" t="s">
        <v>58</v>
      </c>
      <c r="C30" s="57"/>
      <c r="D30" s="58"/>
      <c r="E30" s="190">
        <v>431</v>
      </c>
      <c r="F30" s="190">
        <v>360</v>
      </c>
      <c r="G30" s="190">
        <v>364</v>
      </c>
      <c r="H30" s="190">
        <v>354</v>
      </c>
      <c r="I30" s="190">
        <v>299</v>
      </c>
      <c r="J30" s="190">
        <v>335</v>
      </c>
      <c r="K30" s="190"/>
      <c r="L30" s="16" t="s">
        <v>57</v>
      </c>
      <c r="R30" s="14" t="s">
        <v>56</v>
      </c>
      <c r="U30" s="15"/>
      <c r="V30" s="15"/>
      <c r="W30" s="15"/>
      <c r="X30" s="15"/>
    </row>
    <row r="31" spans="1:26" x14ac:dyDescent="0.25">
      <c r="A31" s="16"/>
      <c r="B31" s="16"/>
      <c r="C31" s="16"/>
      <c r="D31" s="16"/>
      <c r="E31" s="16"/>
      <c r="F31" s="16"/>
      <c r="G31" s="16"/>
      <c r="H31" s="16"/>
      <c r="I31" s="16"/>
      <c r="T31" s="545" t="s">
        <v>197</v>
      </c>
      <c r="W31" s="341">
        <f>L91</f>
        <v>486.08364</v>
      </c>
    </row>
    <row r="32" spans="1:26" x14ac:dyDescent="0.25">
      <c r="A32" s="16"/>
      <c r="B32" s="16"/>
      <c r="C32" s="16"/>
      <c r="D32" s="16"/>
      <c r="E32" s="16"/>
      <c r="F32" s="16"/>
      <c r="G32" s="16"/>
      <c r="H32" s="16"/>
      <c r="I32" s="16"/>
      <c r="T32" s="544" t="s">
        <v>370</v>
      </c>
      <c r="W32" s="225">
        <f>LINEST(F91:L91,F81:L81)/AVERAGE(F91:L91)</f>
        <v>-3.9316086277585038E-2</v>
      </c>
    </row>
    <row r="33" spans="2:11" ht="18.75" x14ac:dyDescent="0.3">
      <c r="B33" s="1005" t="s">
        <v>199</v>
      </c>
      <c r="C33" s="1005"/>
      <c r="D33" s="1005"/>
      <c r="E33" s="1005"/>
      <c r="F33" s="1005"/>
      <c r="G33" s="1005"/>
      <c r="H33" s="1005"/>
      <c r="I33" s="1005"/>
      <c r="J33" s="1005"/>
    </row>
    <row r="34" spans="2:11" ht="18.75" x14ac:dyDescent="0.3">
      <c r="B34" s="19"/>
      <c r="C34" s="19"/>
      <c r="D34" s="19"/>
      <c r="E34" s="19"/>
      <c r="F34" s="176" t="s">
        <v>148</v>
      </c>
      <c r="G34" s="175"/>
      <c r="H34" s="175"/>
      <c r="I34" s="175"/>
      <c r="J34" s="19"/>
    </row>
    <row r="36" spans="2:11" x14ac:dyDescent="0.25">
      <c r="B36" s="30" t="s">
        <v>121</v>
      </c>
    </row>
    <row r="37" spans="2:11" ht="19.5" thickBot="1" x14ac:dyDescent="0.35">
      <c r="B37" s="547"/>
      <c r="C37" s="548"/>
      <c r="D37" s="549"/>
      <c r="E37" s="548"/>
      <c r="F37" s="548"/>
      <c r="G37" s="174"/>
      <c r="H37" s="174"/>
      <c r="I37" s="174"/>
      <c r="J37" s="174"/>
    </row>
    <row r="38" spans="2:11" ht="15.75" thickBot="1" x14ac:dyDescent="0.3">
      <c r="B38" s="1074"/>
      <c r="C38" s="1074"/>
      <c r="D38" s="1075"/>
      <c r="E38" s="550">
        <v>2014</v>
      </c>
      <c r="F38" s="551">
        <v>2015</v>
      </c>
      <c r="G38" s="167">
        <v>2016</v>
      </c>
      <c r="H38" s="168">
        <v>2017</v>
      </c>
      <c r="I38" s="315">
        <v>2018</v>
      </c>
      <c r="J38" s="169">
        <v>2019</v>
      </c>
      <c r="K38" s="169">
        <v>2020</v>
      </c>
    </row>
    <row r="39" spans="2:11" x14ac:dyDescent="0.25">
      <c r="B39" s="1076" t="s">
        <v>196</v>
      </c>
      <c r="C39" s="1077"/>
      <c r="D39" s="552" t="s">
        <v>166</v>
      </c>
      <c r="E39" s="158">
        <f>AI67</f>
        <v>8247.7000000000007</v>
      </c>
      <c r="F39" s="158">
        <f t="shared" ref="F39:K39" si="5">AJ67</f>
        <v>106.5</v>
      </c>
      <c r="G39" s="128">
        <f t="shared" si="5"/>
        <v>172.29999999999998</v>
      </c>
      <c r="H39" s="134">
        <f t="shared" si="5"/>
        <v>129.6</v>
      </c>
      <c r="I39" s="312">
        <f t="shared" si="5"/>
        <v>232.1</v>
      </c>
      <c r="J39" s="135">
        <f t="shared" si="5"/>
        <v>265.60000000000002</v>
      </c>
      <c r="K39" s="135">
        <f t="shared" si="5"/>
        <v>1037</v>
      </c>
    </row>
    <row r="40" spans="2:11" ht="15.75" thickBot="1" x14ac:dyDescent="0.3">
      <c r="B40" s="1078" t="s">
        <v>160</v>
      </c>
      <c r="C40" s="1079"/>
      <c r="D40" s="553" t="s">
        <v>166</v>
      </c>
      <c r="E40" s="233">
        <f>AI69</f>
        <v>24.900000000000002</v>
      </c>
      <c r="F40" s="233">
        <f t="shared" ref="F40:K40" si="6">AJ69</f>
        <v>2.7000000000000006</v>
      </c>
      <c r="G40" s="209">
        <f t="shared" si="6"/>
        <v>3.2</v>
      </c>
      <c r="H40" s="210">
        <f t="shared" si="6"/>
        <v>8.5</v>
      </c>
      <c r="I40" s="316">
        <f t="shared" si="6"/>
        <v>138.5</v>
      </c>
      <c r="J40" s="211">
        <f t="shared" si="6"/>
        <v>12458.7</v>
      </c>
      <c r="K40" s="211">
        <f t="shared" si="6"/>
        <v>71225.899999999994</v>
      </c>
    </row>
    <row r="41" spans="2:11" x14ac:dyDescent="0.25">
      <c r="B41" s="1067" t="s">
        <v>205</v>
      </c>
      <c r="C41" s="1068"/>
      <c r="D41" s="554" t="s">
        <v>166</v>
      </c>
      <c r="E41" s="158">
        <f>AI71</f>
        <v>526080.80000000005</v>
      </c>
      <c r="F41" s="158">
        <f t="shared" ref="F41:K41" si="7">AJ71</f>
        <v>663006</v>
      </c>
      <c r="G41" s="128">
        <f t="shared" si="7"/>
        <v>636120.9</v>
      </c>
      <c r="H41" s="134">
        <f t="shared" si="7"/>
        <v>671866.9</v>
      </c>
      <c r="I41" s="312">
        <f t="shared" si="7"/>
        <v>682188.3</v>
      </c>
      <c r="J41" s="135">
        <f t="shared" si="7"/>
        <v>681181.9</v>
      </c>
      <c r="K41" s="135">
        <f t="shared" si="7"/>
        <v>570249.70000000007</v>
      </c>
    </row>
    <row r="42" spans="2:11" ht="15.75" thickBot="1" x14ac:dyDescent="0.3">
      <c r="B42" s="1069" t="s">
        <v>162</v>
      </c>
      <c r="C42" s="1070"/>
      <c r="D42" s="553" t="s">
        <v>166</v>
      </c>
      <c r="E42" s="233">
        <f>AI73</f>
        <v>771349.9</v>
      </c>
      <c r="F42" s="233">
        <f t="shared" ref="F42:K42" si="8">AJ73</f>
        <v>705780</v>
      </c>
      <c r="G42" s="209">
        <f t="shared" si="8"/>
        <v>852162.10000000009</v>
      </c>
      <c r="H42" s="210">
        <f t="shared" si="8"/>
        <v>838950.00000000012</v>
      </c>
      <c r="I42" s="316">
        <f t="shared" si="8"/>
        <v>780483.39999999991</v>
      </c>
      <c r="J42" s="211">
        <f t="shared" si="8"/>
        <v>1042142.4000000001</v>
      </c>
      <c r="K42" s="211">
        <f t="shared" si="8"/>
        <v>1332527.7000000002</v>
      </c>
    </row>
    <row r="43" spans="2:11" s="202" customFormat="1" ht="15.75" thickBot="1" x14ac:dyDescent="0.3">
      <c r="B43" s="1080" t="s">
        <v>202</v>
      </c>
      <c r="C43" s="1081"/>
      <c r="D43" s="555" t="s">
        <v>166</v>
      </c>
      <c r="E43" s="192">
        <f>$I$21*1%</f>
        <v>39549.651056000002</v>
      </c>
      <c r="F43" s="192">
        <f t="shared" ref="F43:K43" si="9">$I$21*1%</f>
        <v>39549.651056000002</v>
      </c>
      <c r="G43" s="192">
        <f t="shared" si="9"/>
        <v>39549.651056000002</v>
      </c>
      <c r="H43" s="203">
        <f t="shared" si="9"/>
        <v>39549.651056000002</v>
      </c>
      <c r="I43" s="317">
        <f t="shared" si="9"/>
        <v>39549.651056000002</v>
      </c>
      <c r="J43" s="204">
        <f t="shared" si="9"/>
        <v>39549.651056000002</v>
      </c>
      <c r="K43" s="204">
        <f t="shared" si="9"/>
        <v>39549.651056000002</v>
      </c>
    </row>
    <row r="44" spans="2:11" ht="18.75" x14ac:dyDescent="0.3">
      <c r="B44" s="548"/>
      <c r="C44" s="548"/>
      <c r="D44" s="548"/>
      <c r="E44" s="556"/>
      <c r="F44" s="556"/>
      <c r="G44" s="205"/>
      <c r="H44" s="205"/>
      <c r="I44" s="205"/>
      <c r="J44" s="205"/>
      <c r="K44" s="205"/>
    </row>
    <row r="45" spans="2:11" ht="19.5" thickBot="1" x14ac:dyDescent="0.35">
      <c r="B45" s="557"/>
      <c r="C45" s="548"/>
      <c r="D45" s="549"/>
      <c r="E45" s="556"/>
      <c r="F45" s="556"/>
      <c r="G45" s="205"/>
      <c r="H45" s="205"/>
      <c r="I45" s="205"/>
      <c r="J45" s="205"/>
      <c r="K45" s="205"/>
    </row>
    <row r="46" spans="2:11" ht="15.75" thickBot="1" x14ac:dyDescent="0.3">
      <c r="B46" s="558"/>
      <c r="C46" s="558"/>
      <c r="D46" s="559"/>
      <c r="E46" s="560">
        <v>2014</v>
      </c>
      <c r="F46" s="561">
        <v>2015</v>
      </c>
      <c r="G46" s="199">
        <v>2016</v>
      </c>
      <c r="H46" s="200">
        <v>2017</v>
      </c>
      <c r="I46" s="311">
        <v>2018</v>
      </c>
      <c r="J46" s="201">
        <v>2019</v>
      </c>
      <c r="K46" s="201">
        <v>2020</v>
      </c>
    </row>
    <row r="47" spans="2:11" x14ac:dyDescent="0.25">
      <c r="B47" s="1082" t="s">
        <v>196</v>
      </c>
      <c r="C47" s="1083"/>
      <c r="D47" s="562" t="s">
        <v>130</v>
      </c>
      <c r="E47" s="157">
        <f>AI68</f>
        <v>4.7470690000000006</v>
      </c>
      <c r="F47" s="158">
        <f t="shared" ref="F47:K47" si="10">AJ68</f>
        <v>0.19926700000000003</v>
      </c>
      <c r="G47" s="128">
        <f t="shared" si="10"/>
        <v>0.26724000000000003</v>
      </c>
      <c r="H47" s="134">
        <f t="shared" si="10"/>
        <v>9.9756999999999998E-2</v>
      </c>
      <c r="I47" s="312">
        <f t="shared" si="10"/>
        <v>0.38794099999999998</v>
      </c>
      <c r="J47" s="135">
        <f t="shared" si="10"/>
        <v>0.55922300000000003</v>
      </c>
      <c r="K47" s="135">
        <f t="shared" si="10"/>
        <v>1.713341</v>
      </c>
    </row>
    <row r="48" spans="2:11" ht="15.75" thickBot="1" x14ac:dyDescent="0.3">
      <c r="B48" s="1069" t="s">
        <v>160</v>
      </c>
      <c r="C48" s="1070"/>
      <c r="D48" s="563" t="s">
        <v>130</v>
      </c>
      <c r="E48" s="171">
        <f>AI70</f>
        <v>5.3393000000000003E-2</v>
      </c>
      <c r="F48" s="170">
        <f t="shared" ref="F48:K48" si="11">AJ70</f>
        <v>4.8430000000000008E-2</v>
      </c>
      <c r="G48" s="194">
        <f t="shared" si="11"/>
        <v>2.8648E-2</v>
      </c>
      <c r="H48" s="195">
        <f t="shared" si="11"/>
        <v>6.3279000000000002E-2</v>
      </c>
      <c r="I48" s="313">
        <f t="shared" si="11"/>
        <v>0.32248300000000002</v>
      </c>
      <c r="J48" s="196">
        <f t="shared" si="11"/>
        <v>7.269177</v>
      </c>
      <c r="K48" s="196">
        <f t="shared" si="11"/>
        <v>44.973412999999994</v>
      </c>
    </row>
    <row r="49" spans="2:41" ht="15.75" thickBot="1" x14ac:dyDescent="0.3">
      <c r="B49" s="1065" t="s">
        <v>198</v>
      </c>
      <c r="C49" s="1066"/>
      <c r="D49" s="564" t="s">
        <v>130</v>
      </c>
      <c r="E49" s="565">
        <f t="shared" ref="E49:I49" si="12">F88+F89+F90</f>
        <v>618.71517631879988</v>
      </c>
      <c r="F49" s="566">
        <f t="shared" si="12"/>
        <v>585.18648145100008</v>
      </c>
      <c r="G49" s="197">
        <f t="shared" si="12"/>
        <v>560.01935150700001</v>
      </c>
      <c r="H49" s="198">
        <f t="shared" si="12"/>
        <v>572.64127399500012</v>
      </c>
      <c r="I49" s="314">
        <f t="shared" si="12"/>
        <v>533.98036176100004</v>
      </c>
      <c r="J49" s="327">
        <f>K88+K89+K90</f>
        <v>494.34318493500001</v>
      </c>
      <c r="K49" s="327">
        <f>L88+L89+L90</f>
        <v>486.08364</v>
      </c>
      <c r="L49" s="373"/>
    </row>
    <row r="50" spans="2:41" ht="18.75" x14ac:dyDescent="0.3">
      <c r="B50" s="548"/>
      <c r="C50" s="548"/>
      <c r="D50" s="548"/>
      <c r="E50" s="548"/>
      <c r="F50" s="548"/>
      <c r="G50" s="174"/>
      <c r="H50" s="174"/>
      <c r="I50" s="174"/>
      <c r="J50" s="174"/>
    </row>
    <row r="51" spans="2:41" ht="18.75" x14ac:dyDescent="0.3">
      <c r="B51" s="567" t="s">
        <v>120</v>
      </c>
      <c r="C51" s="548"/>
      <c r="D51" s="567"/>
      <c r="E51" s="548"/>
      <c r="F51" s="548"/>
      <c r="G51" s="19"/>
      <c r="H51" s="19"/>
      <c r="I51" s="19"/>
      <c r="J51" s="19"/>
    </row>
    <row r="52" spans="2:41" ht="18.75" x14ac:dyDescent="0.3">
      <c r="B52" s="30"/>
      <c r="C52" s="152"/>
      <c r="D52" s="30"/>
      <c r="E52" s="152"/>
      <c r="F52" s="152"/>
      <c r="G52" s="152"/>
      <c r="H52" s="152"/>
      <c r="I52" s="152"/>
      <c r="J52" s="152"/>
    </row>
    <row r="53" spans="2:41" s="212" customFormat="1" ht="9.75" thickBot="1" x14ac:dyDescent="0.2">
      <c r="B53" s="866"/>
      <c r="C53" s="867"/>
      <c r="D53" s="866"/>
      <c r="E53" s="867"/>
      <c r="F53" s="868">
        <v>2014</v>
      </c>
      <c r="G53" s="868">
        <f>F53+0.25</f>
        <v>2014.25</v>
      </c>
      <c r="H53" s="868">
        <f t="shared" ref="H53:Y53" si="13">G53+0.25</f>
        <v>2014.5</v>
      </c>
      <c r="I53" s="868">
        <f t="shared" si="13"/>
        <v>2014.75</v>
      </c>
      <c r="J53" s="213">
        <f t="shared" si="13"/>
        <v>2015</v>
      </c>
      <c r="K53" s="213">
        <f>J53+0.25</f>
        <v>2015.25</v>
      </c>
      <c r="L53" s="213">
        <f>K53+0.25</f>
        <v>2015.5</v>
      </c>
      <c r="M53" s="213">
        <f t="shared" si="13"/>
        <v>2015.75</v>
      </c>
      <c r="N53" s="213">
        <f t="shared" si="13"/>
        <v>2016</v>
      </c>
      <c r="O53" s="213">
        <f t="shared" si="13"/>
        <v>2016.25</v>
      </c>
      <c r="P53" s="213">
        <f t="shared" si="13"/>
        <v>2016.5</v>
      </c>
      <c r="Q53" s="213">
        <f t="shared" si="13"/>
        <v>2016.75</v>
      </c>
      <c r="R53" s="213">
        <f t="shared" si="13"/>
        <v>2017</v>
      </c>
      <c r="S53" s="213">
        <f t="shared" si="13"/>
        <v>2017.25</v>
      </c>
      <c r="T53" s="213">
        <f t="shared" si="13"/>
        <v>2017.5</v>
      </c>
      <c r="U53" s="213">
        <f t="shared" si="13"/>
        <v>2017.75</v>
      </c>
      <c r="V53" s="213">
        <f t="shared" si="13"/>
        <v>2018</v>
      </c>
      <c r="W53" s="213">
        <f t="shared" si="13"/>
        <v>2018.25</v>
      </c>
      <c r="X53" s="213">
        <f t="shared" si="13"/>
        <v>2018.5</v>
      </c>
      <c r="Y53" s="213">
        <f t="shared" si="13"/>
        <v>2018.75</v>
      </c>
      <c r="Z53" s="213">
        <f t="shared" ref="Z53" si="14">Y53+0.25</f>
        <v>2019</v>
      </c>
      <c r="AA53" s="213">
        <f t="shared" ref="AA53" si="15">Z53+0.25</f>
        <v>2019.25</v>
      </c>
      <c r="AB53" s="213">
        <f t="shared" ref="AB53" si="16">AA53+0.25</f>
        <v>2019.5</v>
      </c>
      <c r="AC53" s="213">
        <f t="shared" ref="AC53" si="17">AB53+0.25</f>
        <v>2019.75</v>
      </c>
      <c r="AD53" s="213">
        <f t="shared" ref="AD53" si="18">AC53+0.25</f>
        <v>2020</v>
      </c>
      <c r="AE53" s="213">
        <f t="shared" ref="AE53" si="19">AD53+0.25</f>
        <v>2020.25</v>
      </c>
      <c r="AF53" s="213">
        <f t="shared" ref="AF53" si="20">AE53+0.25</f>
        <v>2020.5</v>
      </c>
      <c r="AG53" s="213">
        <f t="shared" ref="AG53" si="21">AF53+0.25</f>
        <v>2020.75</v>
      </c>
    </row>
    <row r="54" spans="2:41" ht="19.5" thickBot="1" x14ac:dyDescent="0.35">
      <c r="B54" s="567"/>
      <c r="C54" s="548"/>
      <c r="D54" s="567"/>
      <c r="E54" s="548"/>
      <c r="F54" s="869" t="s">
        <v>100</v>
      </c>
      <c r="G54" s="870" t="s">
        <v>101</v>
      </c>
      <c r="H54" s="870" t="s">
        <v>104</v>
      </c>
      <c r="I54" s="871" t="s">
        <v>105</v>
      </c>
      <c r="J54" s="72" t="s">
        <v>102</v>
      </c>
      <c r="K54" s="73" t="s">
        <v>103</v>
      </c>
      <c r="L54" s="73" t="s">
        <v>106</v>
      </c>
      <c r="M54" s="78" t="s">
        <v>107</v>
      </c>
      <c r="N54" s="79" t="s">
        <v>108</v>
      </c>
      <c r="O54" s="73" t="s">
        <v>109</v>
      </c>
      <c r="P54" s="73" t="s">
        <v>110</v>
      </c>
      <c r="Q54" s="80" t="s">
        <v>111</v>
      </c>
      <c r="R54" s="72" t="s">
        <v>112</v>
      </c>
      <c r="S54" s="73" t="s">
        <v>113</v>
      </c>
      <c r="T54" s="220" t="s">
        <v>114</v>
      </c>
      <c r="U54" s="219" t="s">
        <v>115</v>
      </c>
      <c r="V54" s="79" t="s">
        <v>116</v>
      </c>
      <c r="W54" s="73" t="s">
        <v>117</v>
      </c>
      <c r="X54" s="73" t="s">
        <v>118</v>
      </c>
      <c r="Y54" s="78" t="s">
        <v>119</v>
      </c>
      <c r="Z54" s="79" t="s">
        <v>242</v>
      </c>
      <c r="AA54" s="73" t="s">
        <v>243</v>
      </c>
      <c r="AB54" s="73" t="s">
        <v>333</v>
      </c>
      <c r="AC54" s="78" t="s">
        <v>334</v>
      </c>
      <c r="AD54" s="78" t="s">
        <v>355</v>
      </c>
      <c r="AE54" s="78" t="s">
        <v>356</v>
      </c>
      <c r="AF54" s="78" t="s">
        <v>357</v>
      </c>
      <c r="AG54" s="78" t="s">
        <v>358</v>
      </c>
      <c r="AI54" s="72">
        <v>2014</v>
      </c>
      <c r="AJ54" s="73">
        <v>2015</v>
      </c>
      <c r="AK54" s="73">
        <v>2016</v>
      </c>
      <c r="AL54" s="73">
        <v>2017</v>
      </c>
      <c r="AM54" s="73">
        <v>2018</v>
      </c>
      <c r="AN54" s="73">
        <v>2019</v>
      </c>
      <c r="AO54" s="73">
        <v>2020</v>
      </c>
    </row>
    <row r="55" spans="2:41" s="270" customFormat="1" x14ac:dyDescent="0.25">
      <c r="B55" s="155" t="s">
        <v>167</v>
      </c>
      <c r="C55" s="1058" t="s">
        <v>310</v>
      </c>
      <c r="D55" s="1058"/>
      <c r="E55" s="156" t="s">
        <v>166</v>
      </c>
      <c r="F55" s="157">
        <v>1.3260000000000001</v>
      </c>
      <c r="G55" s="158">
        <v>0</v>
      </c>
      <c r="H55" s="158">
        <v>0</v>
      </c>
      <c r="I55" s="161">
        <v>0</v>
      </c>
      <c r="J55" s="157">
        <v>0</v>
      </c>
      <c r="K55" s="158">
        <v>8.0000000000000002E-3</v>
      </c>
      <c r="L55" s="158">
        <v>0</v>
      </c>
      <c r="M55" s="159">
        <v>0</v>
      </c>
      <c r="N55" s="160">
        <v>0</v>
      </c>
      <c r="O55" s="158">
        <v>0</v>
      </c>
      <c r="P55" s="158">
        <v>0</v>
      </c>
      <c r="Q55" s="161">
        <v>0</v>
      </c>
      <c r="R55" s="157">
        <v>4.0250000000000004</v>
      </c>
      <c r="S55" s="158">
        <v>2E-3</v>
      </c>
      <c r="T55" s="158">
        <v>5.0999999999999997E-2</v>
      </c>
      <c r="U55" s="159">
        <v>2.431</v>
      </c>
      <c r="V55" s="160">
        <v>3.2240000000000002</v>
      </c>
      <c r="W55" s="158">
        <v>19.956</v>
      </c>
      <c r="X55" s="158">
        <v>2.4169999999999998</v>
      </c>
      <c r="Y55" s="159">
        <v>2.4169999999999998</v>
      </c>
      <c r="Z55" s="529">
        <v>5.6379999999999999</v>
      </c>
      <c r="AA55" s="530">
        <v>3.24</v>
      </c>
      <c r="AB55" s="530">
        <v>4.04</v>
      </c>
      <c r="AC55" s="531">
        <v>4.9779999999999998</v>
      </c>
      <c r="AD55" s="529">
        <v>4.0350000000000001</v>
      </c>
      <c r="AE55" s="530">
        <v>143.113</v>
      </c>
      <c r="AF55" s="530">
        <v>20.878</v>
      </c>
      <c r="AG55" s="531">
        <v>3.222</v>
      </c>
      <c r="AI55" s="157">
        <f t="shared" ref="AI55:AI74" si="22">SUM(F55:I55)</f>
        <v>1.3260000000000001</v>
      </c>
      <c r="AJ55" s="158">
        <f t="shared" ref="AJ55:AJ74" si="23">SUM(J55:M55)</f>
        <v>8.0000000000000002E-3</v>
      </c>
      <c r="AK55" s="158">
        <f t="shared" ref="AK55:AK62" si="24">SUM(N55:Q55)</f>
        <v>0</v>
      </c>
      <c r="AL55" s="158">
        <f t="shared" ref="AL55:AL62" si="25">SUM(R55:U55)</f>
        <v>6.5090000000000003</v>
      </c>
      <c r="AM55" s="158">
        <f t="shared" ref="AM55:AM62" si="26">SUM(V55:Y55)</f>
        <v>28.014000000000003</v>
      </c>
      <c r="AN55" s="158">
        <f>SUM(Z55:AC55)</f>
        <v>17.896000000000001</v>
      </c>
      <c r="AO55" s="158">
        <f>SUM(AD55:AG55)</f>
        <v>171.24800000000002</v>
      </c>
    </row>
    <row r="56" spans="2:41" s="270" customFormat="1" ht="15.75" thickBot="1" x14ac:dyDescent="0.3">
      <c r="B56" s="228" t="s">
        <v>174</v>
      </c>
      <c r="C56" s="1059"/>
      <c r="D56" s="1059"/>
      <c r="E56" s="279" t="s">
        <v>130</v>
      </c>
      <c r="F56" s="165">
        <v>1.4200000000000001E-2</v>
      </c>
      <c r="G56" s="166">
        <v>0</v>
      </c>
      <c r="H56" s="166">
        <v>0</v>
      </c>
      <c r="I56" s="231">
        <v>0</v>
      </c>
      <c r="J56" s="165">
        <v>0</v>
      </c>
      <c r="K56" s="166">
        <v>9.0000000000000002E-6</v>
      </c>
      <c r="L56" s="166">
        <v>0</v>
      </c>
      <c r="M56" s="229">
        <v>0</v>
      </c>
      <c r="N56" s="230">
        <v>0</v>
      </c>
      <c r="O56" s="166">
        <v>0</v>
      </c>
      <c r="P56" s="166">
        <v>0</v>
      </c>
      <c r="Q56" s="231">
        <v>0</v>
      </c>
      <c r="R56" s="165">
        <v>5.3299999999999997E-3</v>
      </c>
      <c r="S56" s="166">
        <v>9.6000000000000002E-5</v>
      </c>
      <c r="T56" s="166">
        <v>7.3999999999999999E-4</v>
      </c>
      <c r="U56" s="229">
        <v>2.9420000000000002E-3</v>
      </c>
      <c r="V56" s="230">
        <v>4.3229999999999996E-3</v>
      </c>
      <c r="W56" s="166">
        <v>0.104324</v>
      </c>
      <c r="X56" s="166">
        <v>2.9030000000000002E-3</v>
      </c>
      <c r="Y56" s="229">
        <v>2.905E-3</v>
      </c>
      <c r="Z56" s="532">
        <v>8.0350000000000005E-3</v>
      </c>
      <c r="AA56" s="533">
        <v>4.0119999999999999E-3</v>
      </c>
      <c r="AB56" s="533">
        <v>4.9820000000000003E-3</v>
      </c>
      <c r="AC56" s="534">
        <v>1.5883000000000001E-2</v>
      </c>
      <c r="AD56" s="532">
        <v>4.8799999999999998E-3</v>
      </c>
      <c r="AE56" s="533">
        <v>0.23275599999999999</v>
      </c>
      <c r="AF56" s="533">
        <v>4.6937E-2</v>
      </c>
      <c r="AG56" s="534">
        <v>4.1999999999999997E-3</v>
      </c>
      <c r="AI56" s="165">
        <f t="shared" si="22"/>
        <v>1.4200000000000001E-2</v>
      </c>
      <c r="AJ56" s="166">
        <f t="shared" si="23"/>
        <v>9.0000000000000002E-6</v>
      </c>
      <c r="AK56" s="166">
        <f t="shared" si="24"/>
        <v>0</v>
      </c>
      <c r="AL56" s="166">
        <f t="shared" si="25"/>
        <v>9.1079999999999998E-3</v>
      </c>
      <c r="AM56" s="166">
        <f t="shared" si="26"/>
        <v>0.114455</v>
      </c>
      <c r="AN56" s="166">
        <f t="shared" ref="AN56:AN74" si="27">SUM(Z56:AC56)</f>
        <v>3.2912000000000004E-2</v>
      </c>
      <c r="AO56" s="166">
        <f t="shared" ref="AO56:AO74" si="28">SUM(AD56:AG56)</f>
        <v>0.28877299999999995</v>
      </c>
    </row>
    <row r="57" spans="2:41" s="270" customFormat="1" x14ac:dyDescent="0.25">
      <c r="B57" s="235" t="s">
        <v>174</v>
      </c>
      <c r="C57" s="1056" t="s">
        <v>311</v>
      </c>
      <c r="D57" s="1060"/>
      <c r="E57" s="236" t="s">
        <v>166</v>
      </c>
      <c r="F57" s="171">
        <v>0</v>
      </c>
      <c r="G57" s="170">
        <v>0</v>
      </c>
      <c r="H57" s="170">
        <v>0</v>
      </c>
      <c r="I57" s="239">
        <v>0</v>
      </c>
      <c r="J57" s="171">
        <v>0.22500000000000001</v>
      </c>
      <c r="K57" s="170">
        <v>0</v>
      </c>
      <c r="L57" s="170">
        <v>0</v>
      </c>
      <c r="M57" s="237">
        <v>0</v>
      </c>
      <c r="N57" s="238">
        <v>0</v>
      </c>
      <c r="O57" s="170">
        <v>0</v>
      </c>
      <c r="P57" s="170">
        <v>0</v>
      </c>
      <c r="Q57" s="239">
        <v>0</v>
      </c>
      <c r="R57" s="171">
        <v>0</v>
      </c>
      <c r="S57" s="170">
        <v>0.09</v>
      </c>
      <c r="T57" s="170">
        <v>0</v>
      </c>
      <c r="U57" s="237">
        <v>0</v>
      </c>
      <c r="V57" s="238">
        <v>0.59699999999999998</v>
      </c>
      <c r="W57" s="170">
        <v>1E-3</v>
      </c>
      <c r="X57" s="170">
        <v>1.194</v>
      </c>
      <c r="Y57" s="237">
        <v>0.59799999999999998</v>
      </c>
      <c r="Z57" s="535">
        <v>0.59699999999999998</v>
      </c>
      <c r="AA57" s="536">
        <v>0</v>
      </c>
      <c r="AB57" s="536">
        <v>0.56799999999999995</v>
      </c>
      <c r="AC57" s="537">
        <v>0</v>
      </c>
      <c r="AD57" s="535">
        <v>4201.0770000000002</v>
      </c>
      <c r="AE57" s="536">
        <v>0</v>
      </c>
      <c r="AF57" s="536">
        <v>2785.8180000000002</v>
      </c>
      <c r="AG57" s="537">
        <v>3971.2040000000002</v>
      </c>
      <c r="AI57" s="171">
        <f t="shared" si="22"/>
        <v>0</v>
      </c>
      <c r="AJ57" s="170">
        <f t="shared" si="23"/>
        <v>0.22500000000000001</v>
      </c>
      <c r="AK57" s="170">
        <f t="shared" si="24"/>
        <v>0</v>
      </c>
      <c r="AL57" s="170">
        <f t="shared" si="25"/>
        <v>0.09</v>
      </c>
      <c r="AM57" s="170">
        <f t="shared" si="26"/>
        <v>2.3899999999999997</v>
      </c>
      <c r="AN57" s="170">
        <f t="shared" si="27"/>
        <v>1.165</v>
      </c>
      <c r="AO57" s="170">
        <f t="shared" si="28"/>
        <v>10958.099</v>
      </c>
    </row>
    <row r="58" spans="2:41" s="270" customFormat="1" ht="15.75" thickBot="1" x14ac:dyDescent="0.3">
      <c r="B58" s="281" t="s">
        <v>174</v>
      </c>
      <c r="C58" s="1061"/>
      <c r="D58" s="1061"/>
      <c r="E58" s="280" t="s">
        <v>130</v>
      </c>
      <c r="F58" s="173">
        <v>0</v>
      </c>
      <c r="G58" s="164">
        <v>0</v>
      </c>
      <c r="H58" s="164">
        <v>0</v>
      </c>
      <c r="I58" s="282">
        <v>0</v>
      </c>
      <c r="J58" s="173">
        <v>1.7208000000000001E-2</v>
      </c>
      <c r="K58" s="164">
        <v>0</v>
      </c>
      <c r="L58" s="164">
        <v>0</v>
      </c>
      <c r="M58" s="283">
        <v>0</v>
      </c>
      <c r="N58" s="284">
        <v>0</v>
      </c>
      <c r="O58" s="164">
        <v>0</v>
      </c>
      <c r="P58" s="164">
        <v>0</v>
      </c>
      <c r="Q58" s="282">
        <v>0</v>
      </c>
      <c r="R58" s="173">
        <v>0</v>
      </c>
      <c r="S58" s="164">
        <v>6.8499999999999995E-4</v>
      </c>
      <c r="T58" s="164">
        <v>0</v>
      </c>
      <c r="U58" s="283">
        <v>9.8999999999999994E-5</v>
      </c>
      <c r="V58" s="284">
        <v>1.358E-3</v>
      </c>
      <c r="W58" s="164">
        <v>7.7499999999999997E-4</v>
      </c>
      <c r="X58" s="164">
        <v>1.2979999999999999E-3</v>
      </c>
      <c r="Y58" s="283">
        <v>8.3199999999999995E-4</v>
      </c>
      <c r="Z58" s="538">
        <v>1.2869999999999999E-3</v>
      </c>
      <c r="AA58" s="539">
        <v>1.3680000000000001E-3</v>
      </c>
      <c r="AB58" s="539">
        <v>1.026E-3</v>
      </c>
      <c r="AC58" s="540">
        <v>1.75E-3</v>
      </c>
      <c r="AD58" s="539">
        <v>3.277968</v>
      </c>
      <c r="AE58" s="539">
        <v>2.6410000000000001E-3</v>
      </c>
      <c r="AF58" s="539">
        <v>2.6162030000000001</v>
      </c>
      <c r="AG58" s="539">
        <v>3.099205</v>
      </c>
      <c r="AI58" s="173">
        <f t="shared" si="22"/>
        <v>0</v>
      </c>
      <c r="AJ58" s="164">
        <f t="shared" si="23"/>
        <v>1.7208000000000001E-2</v>
      </c>
      <c r="AK58" s="164">
        <f t="shared" si="24"/>
        <v>0</v>
      </c>
      <c r="AL58" s="164">
        <f t="shared" si="25"/>
        <v>7.8399999999999997E-4</v>
      </c>
      <c r="AM58" s="164">
        <f t="shared" si="26"/>
        <v>4.2630000000000003E-3</v>
      </c>
      <c r="AN58" s="164">
        <f t="shared" si="27"/>
        <v>5.4310000000000001E-3</v>
      </c>
      <c r="AO58" s="164">
        <f t="shared" si="28"/>
        <v>8.9960170000000002</v>
      </c>
    </row>
    <row r="59" spans="2:41" s="270" customFormat="1" x14ac:dyDescent="0.25">
      <c r="B59" s="155" t="s">
        <v>174</v>
      </c>
      <c r="C59" s="1058" t="s">
        <v>312</v>
      </c>
      <c r="D59" s="1058"/>
      <c r="E59" s="156" t="s">
        <v>166</v>
      </c>
      <c r="F59" s="157">
        <v>10175.053</v>
      </c>
      <c r="G59" s="158">
        <v>8420.5529999999999</v>
      </c>
      <c r="H59" s="158">
        <v>9135.1790000000001</v>
      </c>
      <c r="I59" s="161">
        <v>15376.151</v>
      </c>
      <c r="J59" s="157">
        <v>10877.546</v>
      </c>
      <c r="K59" s="158">
        <v>10819.484</v>
      </c>
      <c r="L59" s="158">
        <v>10257.972</v>
      </c>
      <c r="M59" s="159">
        <v>9950.5730000000003</v>
      </c>
      <c r="N59" s="160">
        <v>11034.29</v>
      </c>
      <c r="O59" s="158">
        <v>7830.9690000000001</v>
      </c>
      <c r="P59" s="158">
        <v>8200.1949999999997</v>
      </c>
      <c r="Q59" s="161">
        <v>8824.1389999999992</v>
      </c>
      <c r="R59" s="157">
        <v>10982.666999999999</v>
      </c>
      <c r="S59" s="158">
        <v>9280.48</v>
      </c>
      <c r="T59" s="158">
        <v>10991.412</v>
      </c>
      <c r="U59" s="159">
        <v>10512.107</v>
      </c>
      <c r="V59" s="160">
        <v>8785.8549999999996</v>
      </c>
      <c r="W59" s="158">
        <v>12428.967000000001</v>
      </c>
      <c r="X59" s="158">
        <v>9806.3670000000002</v>
      </c>
      <c r="Y59" s="159">
        <v>9717.0560000000005</v>
      </c>
      <c r="Z59" s="529">
        <v>10892.963</v>
      </c>
      <c r="AA59" s="530">
        <v>10302.413</v>
      </c>
      <c r="AB59" s="530">
        <v>10842.269</v>
      </c>
      <c r="AC59" s="531">
        <v>15086.174999999999</v>
      </c>
      <c r="AD59" s="529">
        <v>15200.374</v>
      </c>
      <c r="AE59" s="530">
        <v>18618.543000000001</v>
      </c>
      <c r="AF59" s="530">
        <v>10737.57</v>
      </c>
      <c r="AG59" s="531">
        <v>12477.758</v>
      </c>
      <c r="AI59" s="157">
        <f t="shared" si="22"/>
        <v>43106.936000000002</v>
      </c>
      <c r="AJ59" s="158">
        <f t="shared" si="23"/>
        <v>41905.574999999997</v>
      </c>
      <c r="AK59" s="158">
        <f t="shared" si="24"/>
        <v>35889.593000000001</v>
      </c>
      <c r="AL59" s="158">
        <f t="shared" si="25"/>
        <v>41766.665999999997</v>
      </c>
      <c r="AM59" s="158">
        <f t="shared" si="26"/>
        <v>40738.244999999995</v>
      </c>
      <c r="AN59" s="158">
        <f t="shared" si="27"/>
        <v>47123.82</v>
      </c>
      <c r="AO59" s="158">
        <f t="shared" si="28"/>
        <v>57034.245000000003</v>
      </c>
    </row>
    <row r="60" spans="2:41" s="270" customFormat="1" ht="15.75" thickBot="1" x14ac:dyDescent="0.3">
      <c r="B60" s="228" t="s">
        <v>174</v>
      </c>
      <c r="C60" s="1059"/>
      <c r="D60" s="1059"/>
      <c r="E60" s="279" t="s">
        <v>130</v>
      </c>
      <c r="F60" s="165">
        <v>11.504687000000001</v>
      </c>
      <c r="G60" s="166">
        <v>10.361032</v>
      </c>
      <c r="H60" s="166">
        <v>11.527761999999999</v>
      </c>
      <c r="I60" s="231">
        <v>17.548794999999998</v>
      </c>
      <c r="J60" s="165">
        <v>13.065161</v>
      </c>
      <c r="K60" s="166">
        <v>13.166528</v>
      </c>
      <c r="L60" s="166">
        <v>13.040431</v>
      </c>
      <c r="M60" s="229">
        <v>13.576575</v>
      </c>
      <c r="N60" s="230">
        <v>12.1716</v>
      </c>
      <c r="O60" s="166">
        <v>11.400601999999999</v>
      </c>
      <c r="P60" s="166">
        <v>10.903741</v>
      </c>
      <c r="Q60" s="231">
        <v>13.879788</v>
      </c>
      <c r="R60" s="165">
        <v>11.382065000000001</v>
      </c>
      <c r="S60" s="166">
        <v>11.507868</v>
      </c>
      <c r="T60" s="166">
        <v>12.858203</v>
      </c>
      <c r="U60" s="229">
        <v>16.383378</v>
      </c>
      <c r="V60" s="230">
        <v>7.9496589999999996</v>
      </c>
      <c r="W60" s="166">
        <v>13.01233</v>
      </c>
      <c r="X60" s="166">
        <v>9.8088800000000003</v>
      </c>
      <c r="Y60" s="229">
        <v>12.525421</v>
      </c>
      <c r="Z60" s="532">
        <v>13.698326</v>
      </c>
      <c r="AA60" s="533">
        <v>13.663542</v>
      </c>
      <c r="AB60" s="533">
        <v>12.239924</v>
      </c>
      <c r="AC60" s="534">
        <v>15.506271</v>
      </c>
      <c r="AD60" s="533">
        <v>16.958712999999999</v>
      </c>
      <c r="AE60" s="533">
        <v>23.814558999999999</v>
      </c>
      <c r="AF60" s="533">
        <v>11.354939999999999</v>
      </c>
      <c r="AG60" s="533">
        <v>11.883255999999999</v>
      </c>
      <c r="AI60" s="165">
        <f t="shared" si="22"/>
        <v>50.942275999999993</v>
      </c>
      <c r="AJ60" s="166">
        <f t="shared" si="23"/>
        <v>52.848694999999999</v>
      </c>
      <c r="AK60" s="166">
        <f t="shared" si="24"/>
        <v>48.355730999999999</v>
      </c>
      <c r="AL60" s="166">
        <f t="shared" si="25"/>
        <v>52.131514000000003</v>
      </c>
      <c r="AM60" s="166">
        <f t="shared" si="26"/>
        <v>43.296289999999999</v>
      </c>
      <c r="AN60" s="166">
        <f t="shared" si="27"/>
        <v>55.108063000000001</v>
      </c>
      <c r="AO60" s="166">
        <f t="shared" si="28"/>
        <v>64.011467999999994</v>
      </c>
    </row>
    <row r="61" spans="2:41" s="270" customFormat="1" x14ac:dyDescent="0.25">
      <c r="B61" s="235" t="s">
        <v>174</v>
      </c>
      <c r="C61" s="1056" t="s">
        <v>313</v>
      </c>
      <c r="D61" s="1056"/>
      <c r="E61" s="236" t="s">
        <v>166</v>
      </c>
      <c r="F61" s="171">
        <v>24429.717000000001</v>
      </c>
      <c r="G61" s="170">
        <v>21638.715</v>
      </c>
      <c r="H61" s="170">
        <v>7761.1689999999999</v>
      </c>
      <c r="I61" s="239">
        <v>22559.951000000001</v>
      </c>
      <c r="J61" s="171">
        <v>15591.572</v>
      </c>
      <c r="K61" s="170">
        <v>18334.883999999998</v>
      </c>
      <c r="L61" s="170">
        <v>11366.137000000001</v>
      </c>
      <c r="M61" s="237">
        <v>26494.717000000001</v>
      </c>
      <c r="N61" s="238">
        <v>21023.035</v>
      </c>
      <c r="O61" s="170">
        <v>16647.553</v>
      </c>
      <c r="P61" s="170">
        <v>10148.928</v>
      </c>
      <c r="Q61" s="239">
        <v>9455.277</v>
      </c>
      <c r="R61" s="171">
        <v>6451.085</v>
      </c>
      <c r="S61" s="170">
        <v>26056.675999999999</v>
      </c>
      <c r="T61" s="170">
        <v>25100.655999999999</v>
      </c>
      <c r="U61" s="237">
        <v>6039.4430000000002</v>
      </c>
      <c r="V61" s="238">
        <v>9648.8310000000001</v>
      </c>
      <c r="W61" s="170">
        <v>4551.9160000000002</v>
      </c>
      <c r="X61" s="170">
        <v>10346.643</v>
      </c>
      <c r="Y61" s="237">
        <v>8880.7270000000008</v>
      </c>
      <c r="Z61" s="535">
        <v>12779.550999999999</v>
      </c>
      <c r="AA61" s="536">
        <v>21450.745999999999</v>
      </c>
      <c r="AB61" s="536">
        <v>21876.883999999998</v>
      </c>
      <c r="AC61" s="537">
        <v>12250.108</v>
      </c>
      <c r="AD61" s="535">
        <v>16588.167000000001</v>
      </c>
      <c r="AE61" s="536">
        <v>25064.971000000001</v>
      </c>
      <c r="AF61" s="536">
        <v>15253.075999999999</v>
      </c>
      <c r="AG61" s="537">
        <v>17114.697</v>
      </c>
      <c r="AI61" s="171">
        <f t="shared" si="22"/>
        <v>76389.551999999996</v>
      </c>
      <c r="AJ61" s="170">
        <f t="shared" si="23"/>
        <v>71787.31</v>
      </c>
      <c r="AK61" s="170">
        <f t="shared" si="24"/>
        <v>57274.793000000005</v>
      </c>
      <c r="AL61" s="170">
        <f t="shared" si="25"/>
        <v>63647.86</v>
      </c>
      <c r="AM61" s="170">
        <f t="shared" si="26"/>
        <v>33428.116999999998</v>
      </c>
      <c r="AN61" s="170">
        <f t="shared" si="27"/>
        <v>68357.28899999999</v>
      </c>
      <c r="AO61" s="170">
        <f t="shared" si="28"/>
        <v>74020.911000000007</v>
      </c>
    </row>
    <row r="62" spans="2:41" s="270" customFormat="1" ht="15.75" thickBot="1" x14ac:dyDescent="0.3">
      <c r="B62" s="281" t="s">
        <v>174</v>
      </c>
      <c r="C62" s="1057"/>
      <c r="D62" s="1057"/>
      <c r="E62" s="280" t="s">
        <v>130</v>
      </c>
      <c r="F62" s="173">
        <v>14.453379</v>
      </c>
      <c r="G62" s="164">
        <v>12.748412999999999</v>
      </c>
      <c r="H62" s="164">
        <v>4.6414569999999999</v>
      </c>
      <c r="I62" s="282">
        <v>13.498809</v>
      </c>
      <c r="J62" s="173">
        <v>10.116837</v>
      </c>
      <c r="K62" s="164">
        <v>11.053096999999999</v>
      </c>
      <c r="L62" s="164">
        <v>6.5290350000000004</v>
      </c>
      <c r="M62" s="283">
        <v>15.619742</v>
      </c>
      <c r="N62" s="284">
        <v>12.562561000000001</v>
      </c>
      <c r="O62" s="164">
        <v>9.7198969999999996</v>
      </c>
      <c r="P62" s="164">
        <v>5.8694559999999996</v>
      </c>
      <c r="Q62" s="282">
        <v>5.6731809999999996</v>
      </c>
      <c r="R62" s="173">
        <v>4.0113000000000003</v>
      </c>
      <c r="S62" s="164">
        <v>16.460086</v>
      </c>
      <c r="T62" s="164">
        <v>15.358775</v>
      </c>
      <c r="U62" s="283">
        <v>3.6678060000000001</v>
      </c>
      <c r="V62" s="284">
        <v>5.1795200000000001</v>
      </c>
      <c r="W62" s="164">
        <v>2.7689010000000001</v>
      </c>
      <c r="X62" s="164">
        <v>5.1904570000000003</v>
      </c>
      <c r="Y62" s="283">
        <v>5.0279660000000002</v>
      </c>
      <c r="Z62" s="538">
        <v>7.2700740000000001</v>
      </c>
      <c r="AA62" s="539">
        <v>11.651802</v>
      </c>
      <c r="AB62" s="539">
        <v>13.098837</v>
      </c>
      <c r="AC62" s="540">
        <v>7.5408759999999999</v>
      </c>
      <c r="AD62" s="535">
        <v>11.047537999999999</v>
      </c>
      <c r="AE62" s="536">
        <v>15.907926</v>
      </c>
      <c r="AF62" s="536">
        <v>9.4647220000000001</v>
      </c>
      <c r="AG62" s="537">
        <v>9.7777080000000005</v>
      </c>
      <c r="AI62" s="173">
        <f t="shared" si="22"/>
        <v>45.342057999999994</v>
      </c>
      <c r="AJ62" s="164">
        <f t="shared" si="23"/>
        <v>43.318711</v>
      </c>
      <c r="AK62" s="164">
        <f t="shared" si="24"/>
        <v>33.825094999999997</v>
      </c>
      <c r="AL62" s="164">
        <f t="shared" si="25"/>
        <v>39.497967000000003</v>
      </c>
      <c r="AM62" s="164">
        <f t="shared" si="26"/>
        <v>18.166844000000001</v>
      </c>
      <c r="AN62" s="164">
        <f t="shared" si="27"/>
        <v>39.561588999999998</v>
      </c>
      <c r="AO62" s="164">
        <f t="shared" si="28"/>
        <v>46.197894000000005</v>
      </c>
    </row>
    <row r="63" spans="2:41" s="270" customFormat="1" x14ac:dyDescent="0.25">
      <c r="B63" s="155" t="s">
        <v>174</v>
      </c>
      <c r="C63" s="1058" t="s">
        <v>314</v>
      </c>
      <c r="D63" s="1058"/>
      <c r="E63" s="156" t="s">
        <v>166</v>
      </c>
      <c r="F63" s="157">
        <v>207669.78</v>
      </c>
      <c r="G63" s="158">
        <v>185465.90900000001</v>
      </c>
      <c r="H63" s="158">
        <v>171845.981</v>
      </c>
      <c r="I63" s="161">
        <v>241521.761</v>
      </c>
      <c r="J63" s="157">
        <v>201401.00899999999</v>
      </c>
      <c r="K63" s="158">
        <v>192004.02</v>
      </c>
      <c r="L63" s="158">
        <v>190687.90100000001</v>
      </c>
      <c r="M63" s="159">
        <v>243054.83499999999</v>
      </c>
      <c r="N63" s="160">
        <v>200213.334</v>
      </c>
      <c r="O63" s="158">
        <v>159107.65400000001</v>
      </c>
      <c r="P63" s="158">
        <v>146125.19200000001</v>
      </c>
      <c r="Q63" s="161">
        <v>158851.43900000001</v>
      </c>
      <c r="R63" s="157">
        <v>154851.28400000001</v>
      </c>
      <c r="S63" s="158">
        <v>167755.40599999999</v>
      </c>
      <c r="T63" s="158">
        <v>140309.22500000001</v>
      </c>
      <c r="U63" s="159">
        <v>208375.31200000001</v>
      </c>
      <c r="V63" s="160">
        <v>197527.88500000001</v>
      </c>
      <c r="W63" s="158">
        <v>191259.70499999999</v>
      </c>
      <c r="X63" s="158">
        <v>186190.291</v>
      </c>
      <c r="Y63" s="159">
        <v>188476.62299999999</v>
      </c>
      <c r="Z63" s="529">
        <v>198204.465</v>
      </c>
      <c r="AA63" s="530">
        <v>150044.005</v>
      </c>
      <c r="AB63" s="530">
        <v>152397.08900000001</v>
      </c>
      <c r="AC63" s="531">
        <v>210907.34899999999</v>
      </c>
      <c r="AD63" s="529">
        <v>232932.109</v>
      </c>
      <c r="AE63" s="530">
        <v>173601.503</v>
      </c>
      <c r="AF63" s="530">
        <v>144344.03099999999</v>
      </c>
      <c r="AG63" s="531">
        <v>157542.79199999999</v>
      </c>
      <c r="AI63" s="157">
        <f t="shared" si="22"/>
        <v>806503.4310000001</v>
      </c>
      <c r="AJ63" s="158">
        <f t="shared" si="23"/>
        <v>827147.7649999999</v>
      </c>
      <c r="AK63" s="158">
        <f t="shared" ref="AK63:AK66" si="29">SUM(N63:Q63)</f>
        <v>664297.61900000006</v>
      </c>
      <c r="AL63" s="158">
        <f t="shared" ref="AL63:AL66" si="30">SUM(R63:U63)</f>
        <v>671291.22700000007</v>
      </c>
      <c r="AM63" s="158">
        <f t="shared" ref="AM63:AM66" si="31">SUM(V63:Y63)</f>
        <v>763454.50399999996</v>
      </c>
      <c r="AN63" s="158">
        <f t="shared" si="27"/>
        <v>711552.90800000005</v>
      </c>
      <c r="AO63" s="158">
        <f t="shared" si="28"/>
        <v>708420.43499999994</v>
      </c>
    </row>
    <row r="64" spans="2:41" s="270" customFormat="1" ht="15.75" thickBot="1" x14ac:dyDescent="0.3">
      <c r="B64" s="228" t="s">
        <v>174</v>
      </c>
      <c r="C64" s="1059"/>
      <c r="D64" s="1059"/>
      <c r="E64" s="279" t="s">
        <v>130</v>
      </c>
      <c r="F64" s="165">
        <v>153.20261199999999</v>
      </c>
      <c r="G64" s="166">
        <v>136.64848499999999</v>
      </c>
      <c r="H64" s="166">
        <v>128.42836500000001</v>
      </c>
      <c r="I64" s="231">
        <v>166.21963099999999</v>
      </c>
      <c r="J64" s="165">
        <v>138.25735800000001</v>
      </c>
      <c r="K64" s="166">
        <v>143.17577600000001</v>
      </c>
      <c r="L64" s="166">
        <v>148.09934999999999</v>
      </c>
      <c r="M64" s="229">
        <v>192.394801</v>
      </c>
      <c r="N64" s="230">
        <v>148.12388899999999</v>
      </c>
      <c r="O64" s="166">
        <v>125.94355899999999</v>
      </c>
      <c r="P64" s="166">
        <v>112.404071</v>
      </c>
      <c r="Q64" s="231">
        <v>124.120977</v>
      </c>
      <c r="R64" s="165">
        <v>121.27533699999999</v>
      </c>
      <c r="S64" s="166">
        <v>133.27577500000001</v>
      </c>
      <c r="T64" s="166">
        <v>111.30535500000001</v>
      </c>
      <c r="U64" s="229">
        <v>153.427156</v>
      </c>
      <c r="V64" s="230">
        <v>137.87740500000001</v>
      </c>
      <c r="W64" s="166">
        <v>135.91895700000001</v>
      </c>
      <c r="X64" s="166">
        <v>133.949487</v>
      </c>
      <c r="Y64" s="229">
        <v>143.73641799999999</v>
      </c>
      <c r="Z64" s="532">
        <v>155.31094200000001</v>
      </c>
      <c r="AA64" s="533">
        <v>122.00125</v>
      </c>
      <c r="AB64" s="533">
        <v>120.982096</v>
      </c>
      <c r="AC64" s="534">
        <v>179.44428500000001</v>
      </c>
      <c r="AD64" s="533">
        <v>184.217848</v>
      </c>
      <c r="AE64" s="533">
        <v>153.81391600000001</v>
      </c>
      <c r="AF64" s="533">
        <v>130.78024400000001</v>
      </c>
      <c r="AG64" s="533">
        <v>142.62073899999999</v>
      </c>
      <c r="AI64" s="165">
        <f t="shared" si="22"/>
        <v>584.4990929999999</v>
      </c>
      <c r="AJ64" s="166">
        <f t="shared" si="23"/>
        <v>621.92728499999998</v>
      </c>
      <c r="AK64" s="166">
        <f t="shared" si="29"/>
        <v>510.59249599999998</v>
      </c>
      <c r="AL64" s="166">
        <f t="shared" si="30"/>
        <v>519.28362300000003</v>
      </c>
      <c r="AM64" s="166">
        <f t="shared" si="31"/>
        <v>551.48226699999998</v>
      </c>
      <c r="AN64" s="166">
        <f t="shared" si="27"/>
        <v>577.73857299999997</v>
      </c>
      <c r="AO64" s="166">
        <f t="shared" si="28"/>
        <v>611.43274699999995</v>
      </c>
    </row>
    <row r="65" spans="1:41" s="270" customFormat="1" x14ac:dyDescent="0.25">
      <c r="B65" s="235" t="s">
        <v>174</v>
      </c>
      <c r="C65" s="1056" t="s">
        <v>315</v>
      </c>
      <c r="D65" s="1056"/>
      <c r="E65" s="236" t="s">
        <v>166</v>
      </c>
      <c r="F65" s="171">
        <v>44591.195</v>
      </c>
      <c r="G65" s="170">
        <v>56279.474000000002</v>
      </c>
      <c r="H65" s="170">
        <v>61530.665000000001</v>
      </c>
      <c r="I65" s="239">
        <v>49295.796999999999</v>
      </c>
      <c r="J65" s="171">
        <v>45718.696000000004</v>
      </c>
      <c r="K65" s="170">
        <v>64430.571000000004</v>
      </c>
      <c r="L65" s="170">
        <v>38796.959000000003</v>
      </c>
      <c r="M65" s="237">
        <v>50335.794999999998</v>
      </c>
      <c r="N65" s="238">
        <v>49396.080999999998</v>
      </c>
      <c r="O65" s="170">
        <v>51205.572</v>
      </c>
      <c r="P65" s="170">
        <v>45712.004999999997</v>
      </c>
      <c r="Q65" s="239">
        <v>32434.705000000002</v>
      </c>
      <c r="R65" s="171">
        <v>44652.474000000002</v>
      </c>
      <c r="S65" s="170">
        <v>84943.236999999994</v>
      </c>
      <c r="T65" s="170">
        <v>80682.471999999994</v>
      </c>
      <c r="U65" s="237">
        <v>35739.667999999998</v>
      </c>
      <c r="V65" s="238">
        <v>48599.921999999999</v>
      </c>
      <c r="W65" s="170">
        <v>71994.266000000003</v>
      </c>
      <c r="X65" s="170">
        <v>68017.898000000001</v>
      </c>
      <c r="Y65" s="237">
        <v>61094.120999999999</v>
      </c>
      <c r="Z65" s="535">
        <v>64291.934000000001</v>
      </c>
      <c r="AA65" s="536">
        <v>109382.048</v>
      </c>
      <c r="AB65" s="536">
        <v>118733.838</v>
      </c>
      <c r="AC65" s="537">
        <v>100709.243</v>
      </c>
      <c r="AD65" s="535">
        <v>90741.805999999997</v>
      </c>
      <c r="AE65" s="536">
        <v>115822.295</v>
      </c>
      <c r="AF65" s="536">
        <v>121201.565</v>
      </c>
      <c r="AG65" s="537">
        <v>101698.012</v>
      </c>
      <c r="AI65" s="171">
        <f t="shared" si="22"/>
        <v>211697.13099999999</v>
      </c>
      <c r="AJ65" s="170">
        <f t="shared" si="23"/>
        <v>199282.02100000001</v>
      </c>
      <c r="AK65" s="170">
        <f t="shared" si="29"/>
        <v>178748.36300000001</v>
      </c>
      <c r="AL65" s="170">
        <f t="shared" si="30"/>
        <v>246017.851</v>
      </c>
      <c r="AM65" s="170">
        <f t="shared" si="31"/>
        <v>249706.20699999999</v>
      </c>
      <c r="AN65" s="170">
        <f t="shared" si="27"/>
        <v>393117.06300000002</v>
      </c>
      <c r="AO65" s="170">
        <f>SUM(AD65:AG65)</f>
        <v>429463.67799999996</v>
      </c>
    </row>
    <row r="66" spans="1:41" s="270" customFormat="1" ht="15.75" thickBot="1" x14ac:dyDescent="0.3">
      <c r="B66" s="281" t="s">
        <v>174</v>
      </c>
      <c r="C66" s="1057"/>
      <c r="D66" s="1057"/>
      <c r="E66" s="280" t="s">
        <v>130</v>
      </c>
      <c r="F66" s="173">
        <v>27.482250000000001</v>
      </c>
      <c r="G66" s="164">
        <v>32.784001000000004</v>
      </c>
      <c r="H66" s="164">
        <v>36.559376</v>
      </c>
      <c r="I66" s="282">
        <v>29.932915999999999</v>
      </c>
      <c r="J66" s="173">
        <v>30.068722000000001</v>
      </c>
      <c r="K66" s="164">
        <v>38.727086999999997</v>
      </c>
      <c r="L66" s="164">
        <v>23.817387</v>
      </c>
      <c r="M66" s="283">
        <v>30.368214999999999</v>
      </c>
      <c r="N66" s="284">
        <v>30.138929999999998</v>
      </c>
      <c r="O66" s="164">
        <v>31.068830999999999</v>
      </c>
      <c r="P66" s="164">
        <v>26.983504</v>
      </c>
      <c r="Q66" s="282">
        <v>19.842264</v>
      </c>
      <c r="R66" s="173">
        <v>30.098903</v>
      </c>
      <c r="S66" s="164">
        <v>59.585262</v>
      </c>
      <c r="T66" s="164">
        <v>54.669142999999998</v>
      </c>
      <c r="U66" s="283">
        <v>24.699762</v>
      </c>
      <c r="V66" s="284">
        <v>31.835360999999999</v>
      </c>
      <c r="W66" s="164">
        <v>57.601230999999999</v>
      </c>
      <c r="X66" s="164">
        <v>45.784517999999998</v>
      </c>
      <c r="Y66" s="283">
        <v>41.419344000000002</v>
      </c>
      <c r="Z66" s="538">
        <v>49.774461000000002</v>
      </c>
      <c r="AA66" s="539">
        <v>76.425477000000001</v>
      </c>
      <c r="AB66" s="539">
        <v>80.379664000000005</v>
      </c>
      <c r="AC66" s="540">
        <v>78.046878000000007</v>
      </c>
      <c r="AD66" s="539">
        <v>67.855722999999998</v>
      </c>
      <c r="AE66" s="539">
        <v>81.236087999999995</v>
      </c>
      <c r="AF66" s="539">
        <v>102.656738</v>
      </c>
      <c r="AG66" s="539">
        <v>87.015034999999997</v>
      </c>
      <c r="AI66" s="173">
        <f t="shared" si="22"/>
        <v>126.758543</v>
      </c>
      <c r="AJ66" s="164">
        <f t="shared" si="23"/>
        <v>122.98141099999998</v>
      </c>
      <c r="AK66" s="164">
        <f t="shared" si="29"/>
        <v>108.033529</v>
      </c>
      <c r="AL66" s="164">
        <f t="shared" si="30"/>
        <v>169.05306999999999</v>
      </c>
      <c r="AM66" s="164">
        <f t="shared" si="31"/>
        <v>176.64045399999998</v>
      </c>
      <c r="AN66" s="164">
        <f t="shared" si="27"/>
        <v>284.62648000000002</v>
      </c>
      <c r="AO66" s="164">
        <f>SUM(AD66:AG66)</f>
        <v>338.76358400000004</v>
      </c>
    </row>
    <row r="67" spans="1:41" s="270" customFormat="1" ht="15.75" thickBot="1" x14ac:dyDescent="0.3">
      <c r="B67" s="155" t="s">
        <v>167</v>
      </c>
      <c r="C67" s="1058" t="s">
        <v>316</v>
      </c>
      <c r="D67" s="1058"/>
      <c r="E67" s="156" t="s">
        <v>166</v>
      </c>
      <c r="F67" s="157">
        <v>56</v>
      </c>
      <c r="G67" s="158">
        <v>8159.2</v>
      </c>
      <c r="H67" s="158">
        <v>8.1</v>
      </c>
      <c r="I67" s="161">
        <v>24.4</v>
      </c>
      <c r="J67" s="157">
        <v>44.9</v>
      </c>
      <c r="K67" s="158">
        <v>5.5</v>
      </c>
      <c r="L67" s="158">
        <v>5.4</v>
      </c>
      <c r="M67" s="159">
        <v>50.7</v>
      </c>
      <c r="N67" s="160">
        <v>91.2</v>
      </c>
      <c r="O67" s="158">
        <v>12.3</v>
      </c>
      <c r="P67" s="158">
        <v>39.1</v>
      </c>
      <c r="Q67" s="161">
        <v>29.7</v>
      </c>
      <c r="R67" s="157">
        <v>22.6</v>
      </c>
      <c r="S67" s="158">
        <v>25.3</v>
      </c>
      <c r="T67" s="158">
        <v>57.3</v>
      </c>
      <c r="U67" s="159">
        <v>24.4</v>
      </c>
      <c r="V67" s="160">
        <v>45</v>
      </c>
      <c r="W67" s="158">
        <v>61.9</v>
      </c>
      <c r="X67" s="158">
        <v>65.599999999999994</v>
      </c>
      <c r="Y67" s="159">
        <v>59.6</v>
      </c>
      <c r="Z67" s="529">
        <v>64.599999999999994</v>
      </c>
      <c r="AA67" s="530">
        <v>43</v>
      </c>
      <c r="AB67" s="530">
        <v>79</v>
      </c>
      <c r="AC67" s="531">
        <v>79</v>
      </c>
      <c r="AD67" s="533">
        <v>94.4</v>
      </c>
      <c r="AE67" s="533">
        <v>344.1</v>
      </c>
      <c r="AF67" s="533">
        <v>453.8</v>
      </c>
      <c r="AG67" s="533">
        <v>144.69999999999999</v>
      </c>
      <c r="AI67" s="157">
        <f t="shared" si="22"/>
        <v>8247.7000000000007</v>
      </c>
      <c r="AJ67" s="158">
        <f t="shared" si="23"/>
        <v>106.5</v>
      </c>
      <c r="AK67" s="158">
        <f t="shared" ref="AK67:AK71" si="32">SUM(N67:Q67)</f>
        <v>172.29999999999998</v>
      </c>
      <c r="AL67" s="158">
        <f t="shared" ref="AL67:AL71" si="33">SUM(R67:U67)</f>
        <v>129.6</v>
      </c>
      <c r="AM67" s="158">
        <f t="shared" ref="AM67:AM71" si="34">SUM(V67:Y67)</f>
        <v>232.1</v>
      </c>
      <c r="AN67" s="158">
        <f t="shared" si="27"/>
        <v>265.60000000000002</v>
      </c>
      <c r="AO67" s="158">
        <f t="shared" si="28"/>
        <v>1037</v>
      </c>
    </row>
    <row r="68" spans="1:41" s="270" customFormat="1" ht="15.75" thickBot="1" x14ac:dyDescent="0.3">
      <c r="B68" s="228" t="s">
        <v>174</v>
      </c>
      <c r="C68" s="1059"/>
      <c r="D68" s="1059"/>
      <c r="E68" s="279" t="s">
        <v>130</v>
      </c>
      <c r="F68" s="165">
        <v>0.11483599999999999</v>
      </c>
      <c r="G68" s="166">
        <v>4.5559349999999998</v>
      </c>
      <c r="H68" s="166">
        <v>2.4344999999999999E-2</v>
      </c>
      <c r="I68" s="231">
        <v>5.1952999999999999E-2</v>
      </c>
      <c r="J68" s="165">
        <v>9.0121999999999994E-2</v>
      </c>
      <c r="K68" s="166">
        <v>1.8672000000000001E-2</v>
      </c>
      <c r="L68" s="166">
        <v>1.7326999999999999E-2</v>
      </c>
      <c r="M68" s="229">
        <v>7.3146000000000003E-2</v>
      </c>
      <c r="N68" s="230">
        <v>0.154585</v>
      </c>
      <c r="O68" s="166">
        <v>2.0216999999999999E-2</v>
      </c>
      <c r="P68" s="166">
        <v>4.6377000000000002E-2</v>
      </c>
      <c r="Q68" s="231">
        <v>4.6060999999999998E-2</v>
      </c>
      <c r="R68" s="165">
        <v>1.3618999999999999E-2</v>
      </c>
      <c r="S68" s="166">
        <v>2.7067999999999998E-2</v>
      </c>
      <c r="T68" s="166">
        <v>3.9462999999999998E-2</v>
      </c>
      <c r="U68" s="229">
        <v>1.9606999999999999E-2</v>
      </c>
      <c r="V68" s="230">
        <v>7.5426999999999994E-2</v>
      </c>
      <c r="W68" s="166">
        <v>0.12792899999999999</v>
      </c>
      <c r="X68" s="166">
        <v>0.101646</v>
      </c>
      <c r="Y68" s="229">
        <v>8.2938999999999999E-2</v>
      </c>
      <c r="Z68" s="532">
        <v>0.161437</v>
      </c>
      <c r="AA68" s="533">
        <v>0.10616200000000001</v>
      </c>
      <c r="AB68" s="533">
        <v>0.116352</v>
      </c>
      <c r="AC68" s="534">
        <v>0.17527200000000001</v>
      </c>
      <c r="AD68" s="533">
        <v>9.2809000000000003E-2</v>
      </c>
      <c r="AE68" s="533">
        <v>0.53897899999999999</v>
      </c>
      <c r="AF68" s="533">
        <v>0.84035700000000002</v>
      </c>
      <c r="AG68" s="533">
        <v>0.24119599999999999</v>
      </c>
      <c r="AI68" s="165">
        <f t="shared" si="22"/>
        <v>4.7470690000000006</v>
      </c>
      <c r="AJ68" s="166">
        <f t="shared" si="23"/>
        <v>0.19926700000000003</v>
      </c>
      <c r="AK68" s="166">
        <f>SUM(N68:Q68)</f>
        <v>0.26724000000000003</v>
      </c>
      <c r="AL68" s="166">
        <f>SUM(R68:U68)</f>
        <v>9.9756999999999998E-2</v>
      </c>
      <c r="AM68" s="166">
        <f>SUM(V68:Y68)</f>
        <v>0.38794099999999998</v>
      </c>
      <c r="AN68" s="166">
        <f t="shared" si="27"/>
        <v>0.55922300000000003</v>
      </c>
      <c r="AO68" s="166">
        <f t="shared" si="28"/>
        <v>1.713341</v>
      </c>
    </row>
    <row r="69" spans="1:41" s="270" customFormat="1" x14ac:dyDescent="0.25">
      <c r="B69" s="235" t="s">
        <v>174</v>
      </c>
      <c r="C69" s="1056" t="s">
        <v>317</v>
      </c>
      <c r="D69" s="1056"/>
      <c r="E69" s="236" t="s">
        <v>166</v>
      </c>
      <c r="F69" s="171">
        <v>11.100000000000001</v>
      </c>
      <c r="G69" s="170">
        <v>0</v>
      </c>
      <c r="H69" s="170">
        <v>12.100000000000001</v>
      </c>
      <c r="I69" s="239">
        <v>1.7000000000000002</v>
      </c>
      <c r="J69" s="171">
        <v>1.2000000000000002</v>
      </c>
      <c r="K69" s="170">
        <v>0.60000000000000009</v>
      </c>
      <c r="L69" s="170">
        <v>0.70000000000000007</v>
      </c>
      <c r="M69" s="237">
        <v>0.2</v>
      </c>
      <c r="N69" s="238">
        <v>0.2</v>
      </c>
      <c r="O69" s="170">
        <v>1</v>
      </c>
      <c r="P69" s="170">
        <v>0.9</v>
      </c>
      <c r="Q69" s="239">
        <v>1.1000000000000001</v>
      </c>
      <c r="R69" s="171">
        <v>1.6</v>
      </c>
      <c r="S69" s="170">
        <v>2.8000000000000003</v>
      </c>
      <c r="T69" s="170">
        <v>2.6</v>
      </c>
      <c r="U69" s="237">
        <v>1.5</v>
      </c>
      <c r="V69" s="238">
        <v>1.2000000000000002</v>
      </c>
      <c r="W69" s="170">
        <v>17</v>
      </c>
      <c r="X69" s="170">
        <v>52</v>
      </c>
      <c r="Y69" s="237">
        <v>68.3</v>
      </c>
      <c r="Z69" s="535">
        <v>100</v>
      </c>
      <c r="AA69" s="536">
        <v>46.6</v>
      </c>
      <c r="AB69" s="536">
        <v>4927.8</v>
      </c>
      <c r="AC69" s="537">
        <v>7384.3</v>
      </c>
      <c r="AD69" s="535">
        <v>4247.8</v>
      </c>
      <c r="AE69" s="536">
        <v>18328.100000000002</v>
      </c>
      <c r="AF69" s="536">
        <v>29405.100000000002</v>
      </c>
      <c r="AG69" s="537">
        <v>19244.900000000001</v>
      </c>
      <c r="AI69" s="171">
        <f t="shared" si="22"/>
        <v>24.900000000000002</v>
      </c>
      <c r="AJ69" s="170">
        <f t="shared" si="23"/>
        <v>2.7000000000000006</v>
      </c>
      <c r="AK69" s="170">
        <f t="shared" si="32"/>
        <v>3.2</v>
      </c>
      <c r="AL69" s="170">
        <f t="shared" si="33"/>
        <v>8.5</v>
      </c>
      <c r="AM69" s="170">
        <f t="shared" si="34"/>
        <v>138.5</v>
      </c>
      <c r="AN69" s="170">
        <f t="shared" si="27"/>
        <v>12458.7</v>
      </c>
      <c r="AO69" s="170">
        <f t="shared" si="28"/>
        <v>71225.899999999994</v>
      </c>
    </row>
    <row r="70" spans="1:41" s="270" customFormat="1" ht="15.75" thickBot="1" x14ac:dyDescent="0.3">
      <c r="B70" s="281" t="s">
        <v>174</v>
      </c>
      <c r="C70" s="1057"/>
      <c r="D70" s="1057"/>
      <c r="E70" s="280" t="s">
        <v>130</v>
      </c>
      <c r="F70" s="173">
        <v>1.4989000000000001E-2</v>
      </c>
      <c r="G70" s="164">
        <v>3.9290000000000002E-3</v>
      </c>
      <c r="H70" s="164">
        <v>2.9061E-2</v>
      </c>
      <c r="I70" s="282">
        <v>5.4140000000000004E-3</v>
      </c>
      <c r="J70" s="173">
        <v>3.3066999999999999E-2</v>
      </c>
      <c r="K70" s="164">
        <v>4.3740000000000003E-3</v>
      </c>
      <c r="L70" s="164">
        <v>5.9699999999999996E-3</v>
      </c>
      <c r="M70" s="283">
        <v>5.019E-3</v>
      </c>
      <c r="N70" s="284">
        <v>1.7179999999999999E-3</v>
      </c>
      <c r="O70" s="164">
        <v>1.6570000000000001E-3</v>
      </c>
      <c r="P70" s="164">
        <v>1.0877E-2</v>
      </c>
      <c r="Q70" s="282">
        <v>1.4396000000000001E-2</v>
      </c>
      <c r="R70" s="173">
        <v>6.9950000000000003E-3</v>
      </c>
      <c r="S70" s="164">
        <v>1.9824000000000001E-2</v>
      </c>
      <c r="T70" s="164">
        <v>2.5602E-2</v>
      </c>
      <c r="U70" s="283">
        <v>1.0858E-2</v>
      </c>
      <c r="V70" s="284">
        <v>1.1683000000000001E-2</v>
      </c>
      <c r="W70" s="164">
        <v>3.5615000000000001E-2</v>
      </c>
      <c r="X70" s="164">
        <v>0.13499800000000001</v>
      </c>
      <c r="Y70" s="283">
        <v>0.14018700000000001</v>
      </c>
      <c r="Z70" s="284">
        <v>0.23900399999999999</v>
      </c>
      <c r="AA70" s="164">
        <v>0.14449000000000001</v>
      </c>
      <c r="AB70" s="164">
        <v>2.8681640000000002</v>
      </c>
      <c r="AC70" s="283">
        <v>4.0175190000000001</v>
      </c>
      <c r="AD70" s="284">
        <v>3.4128280000000002</v>
      </c>
      <c r="AE70" s="164">
        <v>9.9146570000000001</v>
      </c>
      <c r="AF70" s="164">
        <v>19.361148</v>
      </c>
      <c r="AG70" s="283">
        <v>12.28478</v>
      </c>
      <c r="AI70" s="173">
        <f t="shared" si="22"/>
        <v>5.3393000000000003E-2</v>
      </c>
      <c r="AJ70" s="164">
        <f t="shared" si="23"/>
        <v>4.8430000000000008E-2</v>
      </c>
      <c r="AK70" s="164">
        <f>SUM(N70:Q70)</f>
        <v>2.8648E-2</v>
      </c>
      <c r="AL70" s="164">
        <f>SUM(R70:U70)</f>
        <v>6.3279000000000002E-2</v>
      </c>
      <c r="AM70" s="164">
        <f>SUM(V70:Y70)</f>
        <v>0.32248300000000002</v>
      </c>
      <c r="AN70" s="164">
        <f t="shared" si="27"/>
        <v>7.269177</v>
      </c>
      <c r="AO70" s="164">
        <f t="shared" si="28"/>
        <v>44.973412999999994</v>
      </c>
    </row>
    <row r="71" spans="1:41" s="270" customFormat="1" x14ac:dyDescent="0.25">
      <c r="B71" s="155" t="s">
        <v>174</v>
      </c>
      <c r="C71" s="1058" t="s">
        <v>318</v>
      </c>
      <c r="D71" s="1058"/>
      <c r="E71" s="156" t="s">
        <v>166</v>
      </c>
      <c r="F71" s="157">
        <v>146338.30000000002</v>
      </c>
      <c r="G71" s="158">
        <v>149072.6</v>
      </c>
      <c r="H71" s="158">
        <v>88446.400000000009</v>
      </c>
      <c r="I71" s="161">
        <v>142223.5</v>
      </c>
      <c r="J71" s="157">
        <v>140562.5</v>
      </c>
      <c r="K71" s="158">
        <v>178589.90000000002</v>
      </c>
      <c r="L71" s="158">
        <v>191993.5</v>
      </c>
      <c r="M71" s="159">
        <v>151860.1</v>
      </c>
      <c r="N71" s="160">
        <v>202274.6</v>
      </c>
      <c r="O71" s="158">
        <v>154769.60000000001</v>
      </c>
      <c r="P71" s="158">
        <v>137872.5</v>
      </c>
      <c r="Q71" s="161">
        <v>141204.20000000001</v>
      </c>
      <c r="R71" s="157">
        <v>185440.2</v>
      </c>
      <c r="S71" s="158">
        <v>144341.5</v>
      </c>
      <c r="T71" s="158">
        <v>156595.30000000002</v>
      </c>
      <c r="U71" s="159">
        <v>185489.90000000002</v>
      </c>
      <c r="V71" s="160">
        <v>164187.1</v>
      </c>
      <c r="W71" s="158">
        <v>174945.1</v>
      </c>
      <c r="X71" s="158">
        <v>168126.1</v>
      </c>
      <c r="Y71" s="159">
        <v>174930</v>
      </c>
      <c r="Z71" s="160">
        <v>144066</v>
      </c>
      <c r="AA71" s="158">
        <v>170846.40000000002</v>
      </c>
      <c r="AB71" s="158">
        <v>179037.2</v>
      </c>
      <c r="AC71" s="159">
        <v>187232.30000000002</v>
      </c>
      <c r="AD71" s="160">
        <v>133142.6</v>
      </c>
      <c r="AE71" s="158">
        <v>136881.9</v>
      </c>
      <c r="AF71" s="158">
        <v>163355.40000000002</v>
      </c>
      <c r="AG71" s="159">
        <v>136869.80000000002</v>
      </c>
      <c r="AI71" s="157">
        <f t="shared" si="22"/>
        <v>526080.80000000005</v>
      </c>
      <c r="AJ71" s="158">
        <f t="shared" si="23"/>
        <v>663006</v>
      </c>
      <c r="AK71" s="158">
        <f t="shared" si="32"/>
        <v>636120.9</v>
      </c>
      <c r="AL71" s="158">
        <f t="shared" si="33"/>
        <v>671866.9</v>
      </c>
      <c r="AM71" s="158">
        <f t="shared" si="34"/>
        <v>682188.3</v>
      </c>
      <c r="AN71" s="158">
        <f t="shared" si="27"/>
        <v>681181.9</v>
      </c>
      <c r="AO71" s="158">
        <f t="shared" si="28"/>
        <v>570249.70000000007</v>
      </c>
    </row>
    <row r="72" spans="1:41" s="270" customFormat="1" ht="15.75" thickBot="1" x14ac:dyDescent="0.3">
      <c r="B72" s="228" t="s">
        <v>174</v>
      </c>
      <c r="C72" s="1059"/>
      <c r="D72" s="1059"/>
      <c r="E72" s="279" t="s">
        <v>130</v>
      </c>
      <c r="F72" s="165">
        <v>115.89653</v>
      </c>
      <c r="G72" s="166">
        <v>113.536197</v>
      </c>
      <c r="H72" s="166">
        <v>90.917968999999999</v>
      </c>
      <c r="I72" s="231">
        <v>120.692183</v>
      </c>
      <c r="J72" s="165">
        <v>100.17447199999999</v>
      </c>
      <c r="K72" s="166">
        <v>142.17291299999999</v>
      </c>
      <c r="L72" s="166">
        <v>163.67579000000001</v>
      </c>
      <c r="M72" s="229">
        <v>155.41494399999999</v>
      </c>
      <c r="N72" s="230">
        <v>162.10186899999999</v>
      </c>
      <c r="O72" s="166">
        <v>142.50329600000001</v>
      </c>
      <c r="P72" s="166">
        <v>134.519396</v>
      </c>
      <c r="Q72" s="231">
        <v>136.83732900000001</v>
      </c>
      <c r="R72" s="165">
        <v>162.09896800000001</v>
      </c>
      <c r="S72" s="166">
        <v>128.00545199999999</v>
      </c>
      <c r="T72" s="166">
        <v>137.10189500000001</v>
      </c>
      <c r="U72" s="229">
        <v>149.23078000000001</v>
      </c>
      <c r="V72" s="230">
        <v>126.696224</v>
      </c>
      <c r="W72" s="166">
        <v>133.687546</v>
      </c>
      <c r="X72" s="166">
        <v>131.78098</v>
      </c>
      <c r="Y72" s="229">
        <v>140.58916600000001</v>
      </c>
      <c r="Z72" s="230">
        <v>126.87542000000001</v>
      </c>
      <c r="AA72" s="166">
        <v>147.12579600000001</v>
      </c>
      <c r="AB72" s="166">
        <v>158.77559600000001</v>
      </c>
      <c r="AC72" s="229">
        <v>166.56448800000001</v>
      </c>
      <c r="AD72" s="166">
        <v>140.03835900000001</v>
      </c>
      <c r="AE72" s="166">
        <v>139.065315</v>
      </c>
      <c r="AF72" s="166">
        <v>187.24461099999999</v>
      </c>
      <c r="AG72" s="166">
        <v>142.49337700000001</v>
      </c>
      <c r="AI72" s="165">
        <f t="shared" si="22"/>
        <v>441.04287899999997</v>
      </c>
      <c r="AJ72" s="166">
        <f t="shared" si="23"/>
        <v>561.43811899999992</v>
      </c>
      <c r="AK72" s="166">
        <f>SUM(N72:Q72)</f>
        <v>575.96189000000004</v>
      </c>
      <c r="AL72" s="166">
        <f>SUM(R72:U72)</f>
        <v>576.437095</v>
      </c>
      <c r="AM72" s="166">
        <f>SUM(V72:Y72)</f>
        <v>532.753916</v>
      </c>
      <c r="AN72" s="166">
        <f t="shared" si="27"/>
        <v>599.34130000000005</v>
      </c>
      <c r="AO72" s="166">
        <f t="shared" si="28"/>
        <v>608.84166200000004</v>
      </c>
    </row>
    <row r="73" spans="1:41" s="270" customFormat="1" x14ac:dyDescent="0.25">
      <c r="B73" s="235" t="s">
        <v>174</v>
      </c>
      <c r="C73" s="1056" t="s">
        <v>319</v>
      </c>
      <c r="D73" s="1056"/>
      <c r="E73" s="236" t="s">
        <v>166</v>
      </c>
      <c r="F73" s="171">
        <v>218546.2</v>
      </c>
      <c r="G73" s="170">
        <v>193764</v>
      </c>
      <c r="H73" s="170">
        <v>176358.6</v>
      </c>
      <c r="I73" s="239">
        <v>182681.1</v>
      </c>
      <c r="J73" s="171">
        <v>150286.39999999999</v>
      </c>
      <c r="K73" s="170">
        <v>190835.90000000002</v>
      </c>
      <c r="L73" s="170">
        <v>137996.20000000001</v>
      </c>
      <c r="M73" s="237">
        <v>226661.5</v>
      </c>
      <c r="N73" s="238">
        <v>189674.80000000002</v>
      </c>
      <c r="O73" s="170">
        <v>231827.20000000001</v>
      </c>
      <c r="P73" s="170">
        <v>192957.80000000002</v>
      </c>
      <c r="Q73" s="239">
        <v>237702.30000000002</v>
      </c>
      <c r="R73" s="171">
        <v>168921.2</v>
      </c>
      <c r="S73" s="170">
        <v>234556.40000000002</v>
      </c>
      <c r="T73" s="170">
        <v>230787</v>
      </c>
      <c r="U73" s="237">
        <v>204685.40000000002</v>
      </c>
      <c r="V73" s="238">
        <v>204097</v>
      </c>
      <c r="W73" s="170">
        <v>195647.2</v>
      </c>
      <c r="X73" s="170">
        <v>192363.5</v>
      </c>
      <c r="Y73" s="237">
        <v>188375.7</v>
      </c>
      <c r="Z73" s="238">
        <v>204521.90000000002</v>
      </c>
      <c r="AA73" s="170">
        <v>272227.90000000002</v>
      </c>
      <c r="AB73" s="170">
        <v>300587.5</v>
      </c>
      <c r="AC73" s="237">
        <v>264805.10000000003</v>
      </c>
      <c r="AD73" s="238">
        <v>335752.30000000005</v>
      </c>
      <c r="AE73" s="170">
        <v>344805.10000000003</v>
      </c>
      <c r="AF73" s="170">
        <v>256327.1</v>
      </c>
      <c r="AG73" s="237">
        <v>395643.2</v>
      </c>
      <c r="AI73" s="171">
        <f t="shared" si="22"/>
        <v>771349.9</v>
      </c>
      <c r="AJ73" s="170">
        <f t="shared" si="23"/>
        <v>705780</v>
      </c>
      <c r="AK73" s="170">
        <f>SUM(N73:Q73)</f>
        <v>852162.10000000009</v>
      </c>
      <c r="AL73" s="170">
        <f>SUM(R73:U73)</f>
        <v>838950.00000000012</v>
      </c>
      <c r="AM73" s="170">
        <f>SUM(V73:Y73)</f>
        <v>780483.39999999991</v>
      </c>
      <c r="AN73" s="170">
        <f t="shared" si="27"/>
        <v>1042142.4000000001</v>
      </c>
      <c r="AO73" s="170">
        <f t="shared" si="28"/>
        <v>1332527.7000000002</v>
      </c>
    </row>
    <row r="74" spans="1:41" s="270" customFormat="1" ht="15.75" thickBot="1" x14ac:dyDescent="0.3">
      <c r="B74" s="281" t="s">
        <v>174</v>
      </c>
      <c r="C74" s="1057"/>
      <c r="D74" s="1057"/>
      <c r="E74" s="280" t="s">
        <v>130</v>
      </c>
      <c r="F74" s="173">
        <v>161.816023</v>
      </c>
      <c r="G74" s="164">
        <v>142.294715</v>
      </c>
      <c r="H74" s="164">
        <v>121.852294</v>
      </c>
      <c r="I74" s="282">
        <v>122.533128</v>
      </c>
      <c r="J74" s="173">
        <v>94.384950000000003</v>
      </c>
      <c r="K74" s="164">
        <v>118.543434</v>
      </c>
      <c r="L74" s="164">
        <v>91.708579</v>
      </c>
      <c r="M74" s="283">
        <v>156.094202</v>
      </c>
      <c r="N74" s="284">
        <v>123.834373</v>
      </c>
      <c r="O74" s="164">
        <v>152.35411400000001</v>
      </c>
      <c r="P74" s="164">
        <v>123.656145</v>
      </c>
      <c r="Q74" s="282">
        <v>159.72072600000001</v>
      </c>
      <c r="R74" s="173">
        <v>118.798581</v>
      </c>
      <c r="S74" s="164">
        <v>158.83408499999999</v>
      </c>
      <c r="T74" s="164">
        <v>164.444885</v>
      </c>
      <c r="U74" s="283">
        <v>139.568927</v>
      </c>
      <c r="V74" s="284">
        <v>129.470234</v>
      </c>
      <c r="W74" s="164">
        <v>126.749953</v>
      </c>
      <c r="X74" s="164">
        <v>135.453248</v>
      </c>
      <c r="Y74" s="283">
        <v>123.88085100000001</v>
      </c>
      <c r="Z74" s="284">
        <v>126.631737</v>
      </c>
      <c r="AA74" s="164">
        <v>173.01160999999999</v>
      </c>
      <c r="AB74" s="164">
        <v>191.94699499999999</v>
      </c>
      <c r="AC74" s="283">
        <v>165.526937</v>
      </c>
      <c r="AD74" s="164">
        <v>235.05838700000001</v>
      </c>
      <c r="AE74" s="164">
        <v>247.917677</v>
      </c>
      <c r="AF74" s="164">
        <v>182.55767800000001</v>
      </c>
      <c r="AG74" s="164">
        <v>281.07937900000002</v>
      </c>
      <c r="AI74" s="232">
        <f t="shared" si="22"/>
        <v>548.49616000000003</v>
      </c>
      <c r="AJ74" s="233">
        <f t="shared" si="23"/>
        <v>460.73116499999998</v>
      </c>
      <c r="AK74" s="233">
        <f t="shared" ref="AK74" si="35">SUM(N74:Q74)</f>
        <v>559.56535800000006</v>
      </c>
      <c r="AL74" s="233">
        <f t="shared" ref="AL74" si="36">SUM(R74:U74)</f>
        <v>581.646478</v>
      </c>
      <c r="AM74" s="233">
        <f t="shared" ref="AM74" si="37">SUM(V74:Y74)</f>
        <v>515.55428600000005</v>
      </c>
      <c r="AN74" s="233">
        <f t="shared" si="27"/>
        <v>657.11727899999994</v>
      </c>
      <c r="AO74" s="233">
        <f t="shared" si="28"/>
        <v>946.61312100000009</v>
      </c>
    </row>
    <row r="75" spans="1:41" s="271" customFormat="1" ht="15.75" thickBot="1" x14ac:dyDescent="0.3">
      <c r="B75" s="1071" t="s">
        <v>202</v>
      </c>
      <c r="C75" s="1072"/>
      <c r="D75" s="1073"/>
      <c r="E75" s="272" t="s">
        <v>166</v>
      </c>
      <c r="F75" s="273">
        <f>$I$21*1%/4</f>
        <v>9887.4127640000006</v>
      </c>
      <c r="G75" s="274">
        <f>F75</f>
        <v>9887.4127640000006</v>
      </c>
      <c r="H75" s="274">
        <f t="shared" ref="H75:Y75" si="38">G75</f>
        <v>9887.4127640000006</v>
      </c>
      <c r="I75" s="277">
        <f t="shared" si="38"/>
        <v>9887.4127640000006</v>
      </c>
      <c r="J75" s="273">
        <f t="shared" si="38"/>
        <v>9887.4127640000006</v>
      </c>
      <c r="K75" s="274">
        <f>J75</f>
        <v>9887.4127640000006</v>
      </c>
      <c r="L75" s="274">
        <f>K75</f>
        <v>9887.4127640000006</v>
      </c>
      <c r="M75" s="275">
        <f t="shared" si="38"/>
        <v>9887.4127640000006</v>
      </c>
      <c r="N75" s="276">
        <f t="shared" si="38"/>
        <v>9887.4127640000006</v>
      </c>
      <c r="O75" s="274">
        <f t="shared" si="38"/>
        <v>9887.4127640000006</v>
      </c>
      <c r="P75" s="274">
        <f t="shared" si="38"/>
        <v>9887.4127640000006</v>
      </c>
      <c r="Q75" s="277">
        <f t="shared" si="38"/>
        <v>9887.4127640000006</v>
      </c>
      <c r="R75" s="273">
        <f t="shared" si="38"/>
        <v>9887.4127640000006</v>
      </c>
      <c r="S75" s="274">
        <f t="shared" si="38"/>
        <v>9887.4127640000006</v>
      </c>
      <c r="T75" s="278">
        <f t="shared" si="38"/>
        <v>9887.4127640000006</v>
      </c>
      <c r="U75" s="285">
        <f t="shared" si="38"/>
        <v>9887.4127640000006</v>
      </c>
      <c r="V75" s="276">
        <f t="shared" si="38"/>
        <v>9887.4127640000006</v>
      </c>
      <c r="W75" s="274">
        <f t="shared" si="38"/>
        <v>9887.4127640000006</v>
      </c>
      <c r="X75" s="274">
        <f t="shared" si="38"/>
        <v>9887.4127640000006</v>
      </c>
      <c r="Y75" s="275">
        <f t="shared" si="38"/>
        <v>9887.4127640000006</v>
      </c>
      <c r="Z75" s="276">
        <f t="shared" ref="Z75" si="39">Y75</f>
        <v>9887.4127640000006</v>
      </c>
      <c r="AA75" s="274">
        <f t="shared" ref="AA75" si="40">Z75</f>
        <v>9887.4127640000006</v>
      </c>
      <c r="AB75" s="274">
        <f t="shared" ref="AB75" si="41">AA75</f>
        <v>9887.4127640000006</v>
      </c>
      <c r="AC75" s="275">
        <f t="shared" ref="AC75" si="42">AB75</f>
        <v>9887.4127640000006</v>
      </c>
      <c r="AD75" s="276">
        <f t="shared" ref="AD75" si="43">AC75</f>
        <v>9887.4127640000006</v>
      </c>
      <c r="AE75" s="274">
        <f t="shared" ref="AE75" si="44">AD75</f>
        <v>9887.4127640000006</v>
      </c>
      <c r="AF75" s="274">
        <f t="shared" ref="AF75" si="45">AE75</f>
        <v>9887.4127640000006</v>
      </c>
      <c r="AG75" s="275">
        <f t="shared" ref="AG75" si="46">AF75</f>
        <v>9887.4127640000006</v>
      </c>
      <c r="AI75" s="15"/>
      <c r="AJ75" s="15"/>
      <c r="AK75" s="15"/>
      <c r="AL75" s="15"/>
      <c r="AM75" s="15"/>
    </row>
    <row r="76" spans="1:41" ht="18.75" x14ac:dyDescent="0.3">
      <c r="B76" s="567"/>
      <c r="C76" s="548"/>
      <c r="D76" s="567"/>
      <c r="E76" s="548"/>
      <c r="F76" s="548"/>
      <c r="G76" s="548"/>
      <c r="H76" s="548"/>
      <c r="I76" s="548"/>
      <c r="J76" s="174"/>
      <c r="K76" s="174"/>
      <c r="L76" s="343"/>
      <c r="M76" s="174"/>
      <c r="N76" s="174"/>
      <c r="O76" s="174"/>
      <c r="P76" s="174"/>
      <c r="Q76" s="174"/>
      <c r="R76" s="174"/>
      <c r="S76" s="174"/>
      <c r="T76" s="174"/>
      <c r="U76" s="174"/>
      <c r="V76" s="174"/>
      <c r="W76" s="174"/>
      <c r="X76" s="174"/>
      <c r="Y76" s="174"/>
      <c r="Z76" s="174"/>
      <c r="AA76" s="221"/>
      <c r="AB76" s="221"/>
      <c r="AC76" s="305"/>
      <c r="AD76" s="397"/>
      <c r="AE76" s="397"/>
      <c r="AF76" s="397"/>
      <c r="AG76" s="397"/>
      <c r="AH76" s="305"/>
      <c r="AJ76" s="206"/>
      <c r="AK76" s="206"/>
      <c r="AL76" s="206"/>
      <c r="AM76" s="206"/>
      <c r="AN76" s="206"/>
      <c r="AO76" s="206"/>
    </row>
    <row r="77" spans="1:41" x14ac:dyDescent="0.25">
      <c r="B77" s="1062" t="s">
        <v>169</v>
      </c>
      <c r="C77" s="1062"/>
      <c r="D77" s="1062"/>
      <c r="E77" s="1062"/>
      <c r="F77" s="1062"/>
      <c r="G77" s="1062"/>
      <c r="H77" s="1062"/>
      <c r="I77" s="1062"/>
      <c r="J77" s="269"/>
      <c r="AD77" s="427"/>
    </row>
    <row r="78" spans="1:41" ht="18.75" x14ac:dyDescent="0.3">
      <c r="B78" s="1062" t="s">
        <v>308</v>
      </c>
      <c r="C78" s="1062"/>
      <c r="D78" s="1062"/>
      <c r="E78" s="1062"/>
      <c r="F78" s="1062"/>
      <c r="G78" s="1062"/>
      <c r="H78" s="1062"/>
      <c r="I78" s="1062"/>
      <c r="J78" s="243"/>
      <c r="AD78" s="427"/>
    </row>
    <row r="79" spans="1:41" ht="18.75" x14ac:dyDescent="0.3">
      <c r="B79" s="1062" t="s">
        <v>309</v>
      </c>
      <c r="C79" s="1062"/>
      <c r="D79" s="1062"/>
      <c r="E79" s="1062"/>
      <c r="F79" s="1062"/>
      <c r="G79" s="1062"/>
      <c r="H79" s="1062"/>
      <c r="I79" s="1062"/>
      <c r="J79" s="243"/>
      <c r="AD79" s="442"/>
    </row>
    <row r="80" spans="1:41" ht="15.75" thickBot="1" x14ac:dyDescent="0.3">
      <c r="A80" s="162"/>
      <c r="B80" s="872"/>
      <c r="C80" s="872"/>
      <c r="D80" s="872"/>
      <c r="E80" s="872"/>
      <c r="F80" s="873"/>
      <c r="G80" s="547"/>
      <c r="H80" s="873"/>
      <c r="I80" s="873"/>
      <c r="J80" s="162"/>
      <c r="K80" s="15"/>
      <c r="L80" s="15"/>
    </row>
    <row r="81" spans="2:14" ht="15.75" thickBot="1" x14ac:dyDescent="0.3">
      <c r="B81" s="872"/>
      <c r="C81" s="872"/>
      <c r="D81" s="872"/>
      <c r="E81" s="872"/>
      <c r="F81" s="550">
        <v>2014</v>
      </c>
      <c r="G81" s="551">
        <v>2015</v>
      </c>
      <c r="H81" s="551">
        <v>2016</v>
      </c>
      <c r="I81" s="874">
        <v>2017</v>
      </c>
      <c r="J81" s="318">
        <v>2018</v>
      </c>
      <c r="K81" s="374">
        <v>2019</v>
      </c>
      <c r="L81" s="542">
        <v>2020</v>
      </c>
      <c r="N81" s="383"/>
    </row>
    <row r="82" spans="2:14" x14ac:dyDescent="0.25">
      <c r="B82" s="875">
        <v>220710</v>
      </c>
      <c r="C82" s="183" t="s">
        <v>67</v>
      </c>
      <c r="D82" s="183" t="s">
        <v>133</v>
      </c>
      <c r="E82" s="177" t="s">
        <v>130</v>
      </c>
      <c r="F82" s="157">
        <v>24.513303759999999</v>
      </c>
      <c r="G82" s="158">
        <v>32.288247713000004</v>
      </c>
      <c r="H82" s="158">
        <v>33.059682431999995</v>
      </c>
      <c r="I82" s="321">
        <v>24.976581509999999</v>
      </c>
      <c r="J82" s="160">
        <v>19.134868367999999</v>
      </c>
      <c r="K82" s="161">
        <v>22.185360697</v>
      </c>
      <c r="L82" s="154">
        <v>21.716040000000003</v>
      </c>
      <c r="N82" s="338"/>
    </row>
    <row r="83" spans="2:14" x14ac:dyDescent="0.25">
      <c r="B83" s="876">
        <v>220720</v>
      </c>
      <c r="C83" s="184" t="s">
        <v>67</v>
      </c>
      <c r="D83" s="184" t="s">
        <v>133</v>
      </c>
      <c r="E83" s="178" t="s">
        <v>130</v>
      </c>
      <c r="F83" s="153">
        <v>0.50727272199999995</v>
      </c>
      <c r="G83" s="154">
        <v>0.88776611200000011</v>
      </c>
      <c r="H83" s="154">
        <v>1.400059962</v>
      </c>
      <c r="I83" s="322">
        <v>17.116634550000001</v>
      </c>
      <c r="J83" s="319">
        <v>23.343427568999999</v>
      </c>
      <c r="K83" s="375">
        <v>40.970185430999997</v>
      </c>
      <c r="L83" s="154">
        <v>77.175599999999989</v>
      </c>
      <c r="N83" s="337" t="s">
        <v>369</v>
      </c>
    </row>
    <row r="84" spans="2:14" ht="15.75" thickBot="1" x14ac:dyDescent="0.3">
      <c r="B84" s="877">
        <v>220890</v>
      </c>
      <c r="C84" s="185" t="s">
        <v>67</v>
      </c>
      <c r="D84" s="185" t="s">
        <v>133</v>
      </c>
      <c r="E84" s="179" t="s">
        <v>130</v>
      </c>
      <c r="F84" s="165">
        <v>0.44319532839999998</v>
      </c>
      <c r="G84" s="166">
        <v>0.68272554199999991</v>
      </c>
      <c r="H84" s="166">
        <v>0.32795334600000003</v>
      </c>
      <c r="I84" s="323">
        <v>0.9143350950000001</v>
      </c>
      <c r="J84" s="230">
        <v>9.3633308999999998E-2</v>
      </c>
      <c r="K84" s="231">
        <v>0.17535840999999999</v>
      </c>
      <c r="L84" s="543">
        <v>7.6387199999999993</v>
      </c>
      <c r="N84" s="15"/>
    </row>
    <row r="85" spans="2:14" s="15" customFormat="1" x14ac:dyDescent="0.25">
      <c r="B85" s="878">
        <v>220710</v>
      </c>
      <c r="C85" s="186" t="s">
        <v>133</v>
      </c>
      <c r="D85" s="186" t="s">
        <v>67</v>
      </c>
      <c r="E85" s="180" t="s">
        <v>130</v>
      </c>
      <c r="F85" s="171">
        <v>17.257116962800001</v>
      </c>
      <c r="G85" s="170">
        <v>23.504617656000001</v>
      </c>
      <c r="H85" s="170">
        <v>27.187322631000001</v>
      </c>
      <c r="I85" s="324">
        <v>32.305005434999998</v>
      </c>
      <c r="J85" s="238">
        <v>35.923291789000004</v>
      </c>
      <c r="K85" s="239">
        <v>44.704072043000004</v>
      </c>
      <c r="L85" s="163">
        <v>56.677199999999999</v>
      </c>
    </row>
    <row r="86" spans="2:14" s="15" customFormat="1" x14ac:dyDescent="0.25">
      <c r="B86" s="876">
        <v>220720</v>
      </c>
      <c r="C86" s="187" t="s">
        <v>133</v>
      </c>
      <c r="D86" s="187" t="s">
        <v>67</v>
      </c>
      <c r="E86" s="181" t="s">
        <v>130</v>
      </c>
      <c r="F86" s="172">
        <v>590.84444675079999</v>
      </c>
      <c r="G86" s="163">
        <v>555.16863570700002</v>
      </c>
      <c r="H86" s="163">
        <v>535.26045323100004</v>
      </c>
      <c r="I86" s="325">
        <v>548.40415866000001</v>
      </c>
      <c r="J86" s="320">
        <v>497.56571764899996</v>
      </c>
      <c r="K86" s="376">
        <v>468.20386581299999</v>
      </c>
      <c r="L86" s="163">
        <v>465.41879999999998</v>
      </c>
    </row>
    <row r="87" spans="2:14" s="15" customFormat="1" ht="15.75" thickBot="1" x14ac:dyDescent="0.3">
      <c r="B87" s="879">
        <v>220890</v>
      </c>
      <c r="C87" s="188" t="s">
        <v>133</v>
      </c>
      <c r="D87" s="188" t="s">
        <v>67</v>
      </c>
      <c r="E87" s="182" t="s">
        <v>130</v>
      </c>
      <c r="F87" s="173">
        <v>36.077384415600001</v>
      </c>
      <c r="G87" s="164">
        <v>40.371967455000004</v>
      </c>
      <c r="H87" s="164">
        <v>32.359271385</v>
      </c>
      <c r="I87" s="326">
        <v>34.939661054999995</v>
      </c>
      <c r="J87" s="284">
        <v>43.06328156899999</v>
      </c>
      <c r="K87" s="282">
        <v>44.766151617000006</v>
      </c>
      <c r="L87" s="163">
        <v>70.518000000000001</v>
      </c>
    </row>
    <row r="88" spans="2:14" x14ac:dyDescent="0.25">
      <c r="B88" s="875">
        <v>220710</v>
      </c>
      <c r="C88" s="1088" t="s">
        <v>197</v>
      </c>
      <c r="D88" s="1089"/>
      <c r="E88" s="177" t="s">
        <v>130</v>
      </c>
      <c r="F88" s="157">
        <f t="shared" ref="F88" si="47">F85-F82</f>
        <v>-7.256186797199998</v>
      </c>
      <c r="G88" s="158">
        <f>G85-G82</f>
        <v>-8.7836300570000034</v>
      </c>
      <c r="H88" s="158">
        <f t="shared" ref="H88:L88" si="48">H85-H82</f>
        <v>-5.8723598009999947</v>
      </c>
      <c r="I88" s="321">
        <f t="shared" si="48"/>
        <v>7.3284239249999992</v>
      </c>
      <c r="J88" s="160">
        <f t="shared" si="48"/>
        <v>16.788423421000005</v>
      </c>
      <c r="K88" s="161">
        <f t="shared" si="48"/>
        <v>22.518711346000003</v>
      </c>
      <c r="L88" s="154">
        <f t="shared" si="48"/>
        <v>34.961159999999992</v>
      </c>
      <c r="N88" s="384"/>
    </row>
    <row r="89" spans="2:14" x14ac:dyDescent="0.25">
      <c r="B89" s="876">
        <v>220720</v>
      </c>
      <c r="C89" s="1085" t="s">
        <v>197</v>
      </c>
      <c r="D89" s="1086"/>
      <c r="E89" s="178" t="s">
        <v>130</v>
      </c>
      <c r="F89" s="153">
        <f t="shared" ref="F89:L89" si="49">F86-F83</f>
        <v>590.33717402879995</v>
      </c>
      <c r="G89" s="154">
        <f t="shared" si="49"/>
        <v>554.28086959500001</v>
      </c>
      <c r="H89" s="154">
        <f t="shared" si="49"/>
        <v>533.86039326900004</v>
      </c>
      <c r="I89" s="322">
        <f t="shared" si="49"/>
        <v>531.28752411000005</v>
      </c>
      <c r="J89" s="319">
        <f t="shared" si="49"/>
        <v>474.22229007999999</v>
      </c>
      <c r="K89" s="375">
        <f t="shared" si="49"/>
        <v>427.23368038199999</v>
      </c>
      <c r="L89" s="154">
        <f t="shared" si="49"/>
        <v>388.2432</v>
      </c>
    </row>
    <row r="90" spans="2:14" ht="15.75" thickBot="1" x14ac:dyDescent="0.3">
      <c r="B90" s="877">
        <v>220890</v>
      </c>
      <c r="C90" s="1063" t="s">
        <v>197</v>
      </c>
      <c r="D90" s="1064"/>
      <c r="E90" s="179" t="s">
        <v>130</v>
      </c>
      <c r="F90" s="165">
        <f t="shared" ref="F90:L90" si="50">F87-F84</f>
        <v>35.634189087199999</v>
      </c>
      <c r="G90" s="166">
        <f t="shared" si="50"/>
        <v>39.689241913000004</v>
      </c>
      <c r="H90" s="166">
        <f t="shared" si="50"/>
        <v>32.031318038999999</v>
      </c>
      <c r="I90" s="323">
        <f t="shared" si="50"/>
        <v>34.025325959999996</v>
      </c>
      <c r="J90" s="230">
        <f t="shared" si="50"/>
        <v>42.969648259999992</v>
      </c>
      <c r="K90" s="231">
        <f t="shared" si="50"/>
        <v>44.590793207000004</v>
      </c>
      <c r="L90" s="154">
        <f t="shared" si="50"/>
        <v>62.879280000000001</v>
      </c>
    </row>
    <row r="91" spans="2:14" ht="15.75" thickBot="1" x14ac:dyDescent="0.3">
      <c r="B91" s="877" t="s">
        <v>371</v>
      </c>
      <c r="C91" s="1063" t="s">
        <v>197</v>
      </c>
      <c r="D91" s="1064"/>
      <c r="E91" s="179" t="s">
        <v>130</v>
      </c>
      <c r="F91" s="165">
        <f>SUM(F88:F90)</f>
        <v>618.71517631879988</v>
      </c>
      <c r="G91" s="166">
        <f t="shared" ref="G91:L91" si="51">SUM(G88:G90)</f>
        <v>585.18648145100008</v>
      </c>
      <c r="H91" s="166">
        <f t="shared" si="51"/>
        <v>560.01935150700001</v>
      </c>
      <c r="I91" s="323">
        <f t="shared" si="51"/>
        <v>572.64127399500012</v>
      </c>
      <c r="J91" s="230">
        <f t="shared" si="51"/>
        <v>533.98036176100004</v>
      </c>
      <c r="K91" s="231">
        <f t="shared" si="51"/>
        <v>494.34318493500001</v>
      </c>
      <c r="L91" s="154">
        <f t="shared" si="51"/>
        <v>486.08364</v>
      </c>
    </row>
    <row r="92" spans="2:14" x14ac:dyDescent="0.25">
      <c r="B92" s="880"/>
      <c r="C92" s="547"/>
      <c r="D92" s="547"/>
      <c r="E92" s="547"/>
      <c r="F92" s="547"/>
      <c r="G92" s="547"/>
      <c r="H92" s="547"/>
      <c r="I92" s="547"/>
    </row>
    <row r="93" spans="2:14" x14ac:dyDescent="0.25">
      <c r="B93" s="547"/>
      <c r="C93" s="547"/>
      <c r="D93" s="547"/>
      <c r="E93" s="547"/>
      <c r="F93" s="881"/>
      <c r="G93" s="881"/>
      <c r="H93" s="881"/>
      <c r="I93" s="881"/>
      <c r="J93" s="206"/>
    </row>
    <row r="94" spans="2:14" x14ac:dyDescent="0.25">
      <c r="B94" s="547"/>
      <c r="C94" s="547"/>
      <c r="D94" s="547"/>
      <c r="E94" s="547"/>
      <c r="F94" s="881"/>
      <c r="G94" s="881"/>
      <c r="H94" s="881"/>
      <c r="I94" s="881"/>
      <c r="J94" s="206"/>
    </row>
    <row r="97" spans="2:40" x14ac:dyDescent="0.25">
      <c r="B97" s="365" t="s">
        <v>368</v>
      </c>
    </row>
    <row r="98" spans="2:40" ht="15.75" thickBot="1" x14ac:dyDescent="0.3"/>
    <row r="99" spans="2:40" ht="19.5" thickBot="1" x14ac:dyDescent="0.35">
      <c r="B99" s="30"/>
      <c r="C99" s="445"/>
      <c r="D99" s="30"/>
      <c r="E99" s="445"/>
      <c r="F99" s="72" t="s">
        <v>100</v>
      </c>
      <c r="G99" s="73" t="s">
        <v>101</v>
      </c>
      <c r="H99" s="73" t="s">
        <v>104</v>
      </c>
      <c r="I99" s="80" t="s">
        <v>105</v>
      </c>
      <c r="J99" s="72" t="s">
        <v>102</v>
      </c>
      <c r="K99" s="73" t="s">
        <v>103</v>
      </c>
      <c r="L99" s="73" t="s">
        <v>106</v>
      </c>
      <c r="M99" s="78" t="s">
        <v>107</v>
      </c>
      <c r="N99" s="79" t="s">
        <v>108</v>
      </c>
      <c r="O99" s="73" t="s">
        <v>109</v>
      </c>
      <c r="P99" s="73" t="s">
        <v>110</v>
      </c>
      <c r="Q99" s="80" t="s">
        <v>111</v>
      </c>
      <c r="R99" s="72" t="s">
        <v>112</v>
      </c>
      <c r="S99" s="73" t="s">
        <v>113</v>
      </c>
      <c r="T99" s="220" t="s">
        <v>114</v>
      </c>
      <c r="U99" s="219" t="s">
        <v>115</v>
      </c>
      <c r="V99" s="79" t="s">
        <v>116</v>
      </c>
      <c r="W99" s="73" t="s">
        <v>117</v>
      </c>
      <c r="X99" s="73" t="s">
        <v>118</v>
      </c>
      <c r="Y99" s="78" t="s">
        <v>119</v>
      </c>
      <c r="Z99" s="79" t="s">
        <v>242</v>
      </c>
      <c r="AA99" s="73" t="s">
        <v>243</v>
      </c>
      <c r="AB99" s="73" t="s">
        <v>333</v>
      </c>
      <c r="AC99" s="78" t="s">
        <v>334</v>
      </c>
      <c r="AI99" s="72">
        <v>2014</v>
      </c>
      <c r="AJ99" s="73">
        <v>2015</v>
      </c>
      <c r="AK99" s="73">
        <v>2016</v>
      </c>
      <c r="AL99" s="73">
        <v>2017</v>
      </c>
      <c r="AM99" s="73">
        <v>2018</v>
      </c>
      <c r="AN99" s="78">
        <v>2019</v>
      </c>
    </row>
    <row r="100" spans="2:40" x14ac:dyDescent="0.25">
      <c r="B100" s="155" t="s">
        <v>167</v>
      </c>
      <c r="C100" s="1058" t="s">
        <v>310</v>
      </c>
      <c r="D100" s="1058"/>
      <c r="E100" s="156" t="s">
        <v>166</v>
      </c>
      <c r="F100" s="157">
        <v>1.3260000000000001</v>
      </c>
      <c r="G100" s="158">
        <v>0</v>
      </c>
      <c r="H100" s="158">
        <v>0</v>
      </c>
      <c r="I100" s="161">
        <v>0</v>
      </c>
      <c r="J100" s="157">
        <v>0</v>
      </c>
      <c r="K100" s="158">
        <v>8.0000000000000002E-3</v>
      </c>
      <c r="L100" s="158">
        <v>0</v>
      </c>
      <c r="M100" s="159">
        <v>0</v>
      </c>
      <c r="N100" s="160">
        <v>0</v>
      </c>
      <c r="O100" s="158">
        <v>0</v>
      </c>
      <c r="P100" s="158">
        <v>0</v>
      </c>
      <c r="Q100" s="161">
        <v>0</v>
      </c>
      <c r="R100" s="157">
        <v>4.0250000000000004</v>
      </c>
      <c r="S100" s="158">
        <v>2E-3</v>
      </c>
      <c r="T100" s="158">
        <v>5.0999999999999997E-2</v>
      </c>
      <c r="U100" s="159">
        <v>2.431</v>
      </c>
      <c r="V100" s="160">
        <v>3.2240000000000002</v>
      </c>
      <c r="W100" s="158">
        <v>19.956</v>
      </c>
      <c r="X100" s="158">
        <v>2.4169999999999998</v>
      </c>
      <c r="Y100" s="159">
        <v>2.4169999999999998</v>
      </c>
      <c r="Z100" s="160">
        <v>5.6379999999999999</v>
      </c>
      <c r="AA100" s="158">
        <v>3.24</v>
      </c>
      <c r="AB100" s="158">
        <v>4.04</v>
      </c>
      <c r="AC100" s="159">
        <v>4.9779999999999998</v>
      </c>
      <c r="AI100" s="157">
        <f t="shared" ref="AI100:AI119" si="52">SUM(F100:I100)</f>
        <v>1.3260000000000001</v>
      </c>
      <c r="AJ100" s="158">
        <f t="shared" ref="AJ100:AJ119" si="53">SUM(J100:M100)</f>
        <v>8.0000000000000002E-3</v>
      </c>
      <c r="AK100" s="158">
        <f t="shared" ref="AK100:AK112" si="54">SUM(N100:Q100)</f>
        <v>0</v>
      </c>
      <c r="AL100" s="158">
        <f t="shared" ref="AL100:AL112" si="55">SUM(R100:U100)</f>
        <v>6.5090000000000003</v>
      </c>
      <c r="AM100" s="158">
        <f t="shared" ref="AM100:AM112" si="56">SUM(V100:Y100)</f>
        <v>28.014000000000003</v>
      </c>
      <c r="AN100" s="159">
        <f>SUM(Z100:AC100)</f>
        <v>17.896000000000001</v>
      </c>
    </row>
    <row r="101" spans="2:40" ht="15.75" thickBot="1" x14ac:dyDescent="0.3">
      <c r="B101" s="228" t="s">
        <v>174</v>
      </c>
      <c r="C101" s="1059"/>
      <c r="D101" s="1059"/>
      <c r="E101" s="279" t="s">
        <v>130</v>
      </c>
      <c r="F101" s="165">
        <v>1.4200000000000001E-2</v>
      </c>
      <c r="G101" s="166">
        <v>0</v>
      </c>
      <c r="H101" s="166">
        <v>0</v>
      </c>
      <c r="I101" s="231">
        <v>0</v>
      </c>
      <c r="J101" s="165">
        <v>0</v>
      </c>
      <c r="K101" s="166">
        <v>9.0000000000000002E-6</v>
      </c>
      <c r="L101" s="166">
        <v>0</v>
      </c>
      <c r="M101" s="229">
        <v>0</v>
      </c>
      <c r="N101" s="230">
        <v>0</v>
      </c>
      <c r="O101" s="166">
        <v>0</v>
      </c>
      <c r="P101" s="166">
        <v>0</v>
      </c>
      <c r="Q101" s="231">
        <v>0</v>
      </c>
      <c r="R101" s="165">
        <v>5.3299999999999997E-3</v>
      </c>
      <c r="S101" s="166">
        <v>9.6000000000000002E-5</v>
      </c>
      <c r="T101" s="166">
        <v>7.3999999999999999E-4</v>
      </c>
      <c r="U101" s="229">
        <v>2.9420000000000002E-3</v>
      </c>
      <c r="V101" s="230">
        <v>4.3229999999999996E-3</v>
      </c>
      <c r="W101" s="166">
        <v>0.104324</v>
      </c>
      <c r="X101" s="166">
        <v>2.9030000000000002E-3</v>
      </c>
      <c r="Y101" s="229">
        <v>2.905E-3</v>
      </c>
      <c r="Z101" s="230">
        <v>8.0350000000000005E-3</v>
      </c>
      <c r="AA101" s="166">
        <v>4.0119999999999999E-3</v>
      </c>
      <c r="AB101" s="166">
        <v>4.9820000000000003E-3</v>
      </c>
      <c r="AC101" s="229">
        <v>1.5883000000000001E-2</v>
      </c>
      <c r="AI101" s="165">
        <f t="shared" si="52"/>
        <v>1.4200000000000001E-2</v>
      </c>
      <c r="AJ101" s="166">
        <f t="shared" si="53"/>
        <v>9.0000000000000002E-6</v>
      </c>
      <c r="AK101" s="166">
        <f t="shared" si="54"/>
        <v>0</v>
      </c>
      <c r="AL101" s="166">
        <f t="shared" si="55"/>
        <v>9.1079999999999998E-3</v>
      </c>
      <c r="AM101" s="166">
        <f t="shared" si="56"/>
        <v>0.114455</v>
      </c>
      <c r="AN101" s="229">
        <f t="shared" ref="AN101:AN119" si="57">SUM(Z101:AC101)</f>
        <v>3.2912000000000004E-2</v>
      </c>
    </row>
    <row r="102" spans="2:40" x14ac:dyDescent="0.25">
      <c r="B102" s="235" t="s">
        <v>174</v>
      </c>
      <c r="C102" s="1056" t="s">
        <v>311</v>
      </c>
      <c r="D102" s="1060"/>
      <c r="E102" s="236" t="s">
        <v>166</v>
      </c>
      <c r="F102" s="171">
        <v>0</v>
      </c>
      <c r="G102" s="170">
        <v>0</v>
      </c>
      <c r="H102" s="170">
        <v>0</v>
      </c>
      <c r="I102" s="239">
        <v>0</v>
      </c>
      <c r="J102" s="171">
        <v>0.22500000000000001</v>
      </c>
      <c r="K102" s="170">
        <v>0</v>
      </c>
      <c r="L102" s="170">
        <v>0</v>
      </c>
      <c r="M102" s="237">
        <v>0</v>
      </c>
      <c r="N102" s="238">
        <v>0</v>
      </c>
      <c r="O102" s="170">
        <v>0</v>
      </c>
      <c r="P102" s="170">
        <v>0</v>
      </c>
      <c r="Q102" s="239">
        <v>0</v>
      </c>
      <c r="R102" s="171">
        <v>0</v>
      </c>
      <c r="S102" s="170">
        <v>0.09</v>
      </c>
      <c r="T102" s="170">
        <v>0</v>
      </c>
      <c r="U102" s="237">
        <v>0</v>
      </c>
      <c r="V102" s="238">
        <v>0.59699999999999998</v>
      </c>
      <c r="W102" s="170">
        <v>1E-3</v>
      </c>
      <c r="X102" s="170">
        <v>1.194</v>
      </c>
      <c r="Y102" s="237">
        <v>0.59799999999999998</v>
      </c>
      <c r="Z102" s="238">
        <v>0.59699999999999998</v>
      </c>
      <c r="AA102" s="170">
        <v>0</v>
      </c>
      <c r="AB102" s="170">
        <v>0.56799999999999995</v>
      </c>
      <c r="AC102" s="237">
        <v>0</v>
      </c>
      <c r="AI102" s="171">
        <f t="shared" si="52"/>
        <v>0</v>
      </c>
      <c r="AJ102" s="170">
        <f t="shared" si="53"/>
        <v>0.22500000000000001</v>
      </c>
      <c r="AK102" s="170">
        <f t="shared" si="54"/>
        <v>0</v>
      </c>
      <c r="AL102" s="170">
        <f t="shared" si="55"/>
        <v>0.09</v>
      </c>
      <c r="AM102" s="170">
        <f t="shared" si="56"/>
        <v>2.3899999999999997</v>
      </c>
      <c r="AN102" s="237">
        <f t="shared" si="57"/>
        <v>1.165</v>
      </c>
    </row>
    <row r="103" spans="2:40" ht="15.75" thickBot="1" x14ac:dyDescent="0.3">
      <c r="B103" s="281" t="s">
        <v>174</v>
      </c>
      <c r="C103" s="1061"/>
      <c r="D103" s="1061"/>
      <c r="E103" s="280" t="s">
        <v>130</v>
      </c>
      <c r="F103" s="173">
        <v>0</v>
      </c>
      <c r="G103" s="164">
        <v>0</v>
      </c>
      <c r="H103" s="164">
        <v>0</v>
      </c>
      <c r="I103" s="282">
        <v>0</v>
      </c>
      <c r="J103" s="173">
        <v>1.7208000000000001E-2</v>
      </c>
      <c r="K103" s="164">
        <v>0</v>
      </c>
      <c r="L103" s="164">
        <v>0</v>
      </c>
      <c r="M103" s="283">
        <v>0</v>
      </c>
      <c r="N103" s="284">
        <v>0</v>
      </c>
      <c r="O103" s="164">
        <v>0</v>
      </c>
      <c r="P103" s="164">
        <v>0</v>
      </c>
      <c r="Q103" s="282">
        <v>0</v>
      </c>
      <c r="R103" s="173">
        <v>0</v>
      </c>
      <c r="S103" s="164">
        <v>6.8499999999999995E-4</v>
      </c>
      <c r="T103" s="164">
        <v>0</v>
      </c>
      <c r="U103" s="283">
        <v>9.8999999999999994E-5</v>
      </c>
      <c r="V103" s="284">
        <v>1.358E-3</v>
      </c>
      <c r="W103" s="164">
        <v>7.7499999999999997E-4</v>
      </c>
      <c r="X103" s="164">
        <v>1.2979999999999999E-3</v>
      </c>
      <c r="Y103" s="283">
        <v>8.3199999999999995E-4</v>
      </c>
      <c r="Z103" s="284">
        <v>1.2869999999999999E-3</v>
      </c>
      <c r="AA103" s="164">
        <v>1.3680000000000001E-3</v>
      </c>
      <c r="AB103" s="164">
        <v>1.026E-3</v>
      </c>
      <c r="AC103" s="283">
        <v>1.75E-3</v>
      </c>
      <c r="AI103" s="173">
        <f t="shared" si="52"/>
        <v>0</v>
      </c>
      <c r="AJ103" s="164">
        <f t="shared" si="53"/>
        <v>1.7208000000000001E-2</v>
      </c>
      <c r="AK103" s="164">
        <f t="shared" si="54"/>
        <v>0</v>
      </c>
      <c r="AL103" s="164">
        <f t="shared" si="55"/>
        <v>7.8399999999999997E-4</v>
      </c>
      <c r="AM103" s="164">
        <f t="shared" si="56"/>
        <v>4.2630000000000003E-3</v>
      </c>
      <c r="AN103" s="283">
        <f t="shared" si="57"/>
        <v>5.4310000000000001E-3</v>
      </c>
    </row>
    <row r="104" spans="2:40" x14ac:dyDescent="0.25">
      <c r="B104" s="155" t="s">
        <v>174</v>
      </c>
      <c r="C104" s="1058" t="s">
        <v>312</v>
      </c>
      <c r="D104" s="1058"/>
      <c r="E104" s="156" t="s">
        <v>166</v>
      </c>
      <c r="F104" s="157">
        <v>10175.053</v>
      </c>
      <c r="G104" s="158">
        <v>8420.5529999999999</v>
      </c>
      <c r="H104" s="158">
        <v>9135.1790000000001</v>
      </c>
      <c r="I104" s="161">
        <v>15376.151</v>
      </c>
      <c r="J104" s="157">
        <v>10877.546</v>
      </c>
      <c r="K104" s="158">
        <v>10819.484</v>
      </c>
      <c r="L104" s="158">
        <v>10257.972</v>
      </c>
      <c r="M104" s="159">
        <v>9950.5730000000003</v>
      </c>
      <c r="N104" s="160">
        <v>11034.29</v>
      </c>
      <c r="O104" s="158">
        <v>7830.9690000000001</v>
      </c>
      <c r="P104" s="158">
        <v>8200.1949999999997</v>
      </c>
      <c r="Q104" s="161">
        <v>8824.1389999999992</v>
      </c>
      <c r="R104" s="157">
        <v>10982.666999999999</v>
      </c>
      <c r="S104" s="158">
        <v>9280.48</v>
      </c>
      <c r="T104" s="158">
        <v>10991.412</v>
      </c>
      <c r="U104" s="159">
        <v>10512.107</v>
      </c>
      <c r="V104" s="160">
        <v>8785.8549999999996</v>
      </c>
      <c r="W104" s="158">
        <v>12428.967000000001</v>
      </c>
      <c r="X104" s="158">
        <v>9806.3670000000002</v>
      </c>
      <c r="Y104" s="159">
        <v>9717.0560000000005</v>
      </c>
      <c r="Z104" s="426">
        <v>10892.963</v>
      </c>
      <c r="AA104" s="424">
        <v>10302.413</v>
      </c>
      <c r="AB104" s="424">
        <v>10842.269</v>
      </c>
      <c r="AC104" s="425">
        <v>15086.174999999999</v>
      </c>
      <c r="AI104" s="157">
        <f t="shared" si="52"/>
        <v>43106.936000000002</v>
      </c>
      <c r="AJ104" s="158">
        <f t="shared" si="53"/>
        <v>41905.574999999997</v>
      </c>
      <c r="AK104" s="158">
        <f t="shared" si="54"/>
        <v>35889.593000000001</v>
      </c>
      <c r="AL104" s="158">
        <f t="shared" si="55"/>
        <v>41766.665999999997</v>
      </c>
      <c r="AM104" s="158">
        <f t="shared" si="56"/>
        <v>40738.244999999995</v>
      </c>
      <c r="AN104" s="159">
        <f t="shared" si="57"/>
        <v>47123.82</v>
      </c>
    </row>
    <row r="105" spans="2:40" ht="15.75" thickBot="1" x14ac:dyDescent="0.3">
      <c r="B105" s="228" t="s">
        <v>174</v>
      </c>
      <c r="C105" s="1059"/>
      <c r="D105" s="1059"/>
      <c r="E105" s="279" t="s">
        <v>130</v>
      </c>
      <c r="F105" s="165">
        <v>11.504687000000001</v>
      </c>
      <c r="G105" s="166">
        <v>10.361032</v>
      </c>
      <c r="H105" s="166">
        <v>11.527761999999999</v>
      </c>
      <c r="I105" s="231">
        <v>17.548794999999998</v>
      </c>
      <c r="J105" s="165">
        <v>13.065161</v>
      </c>
      <c r="K105" s="166">
        <v>13.166528</v>
      </c>
      <c r="L105" s="166">
        <v>13.040431</v>
      </c>
      <c r="M105" s="229">
        <v>13.576575</v>
      </c>
      <c r="N105" s="230">
        <v>12.1716</v>
      </c>
      <c r="O105" s="166">
        <v>11.400601999999999</v>
      </c>
      <c r="P105" s="166">
        <v>10.903741</v>
      </c>
      <c r="Q105" s="231">
        <v>13.879788</v>
      </c>
      <c r="R105" s="165">
        <v>11.382065000000001</v>
      </c>
      <c r="S105" s="166">
        <v>11.507868</v>
      </c>
      <c r="T105" s="166">
        <v>12.858203</v>
      </c>
      <c r="U105" s="229">
        <v>16.383378</v>
      </c>
      <c r="V105" s="230">
        <v>7.9496589999999996</v>
      </c>
      <c r="W105" s="166">
        <v>13.01233</v>
      </c>
      <c r="X105" s="166">
        <v>9.8088800000000003</v>
      </c>
      <c r="Y105" s="229">
        <v>12.525421</v>
      </c>
      <c r="Z105" s="429">
        <v>13.698326</v>
      </c>
      <c r="AA105" s="428">
        <v>13.663542</v>
      </c>
      <c r="AB105" s="428">
        <v>12.239924</v>
      </c>
      <c r="AC105" s="430">
        <v>15.506271</v>
      </c>
      <c r="AI105" s="165">
        <f t="shared" si="52"/>
        <v>50.942275999999993</v>
      </c>
      <c r="AJ105" s="166">
        <f t="shared" si="53"/>
        <v>52.848694999999999</v>
      </c>
      <c r="AK105" s="166">
        <f t="shared" si="54"/>
        <v>48.355730999999999</v>
      </c>
      <c r="AL105" s="166">
        <f t="shared" si="55"/>
        <v>52.131514000000003</v>
      </c>
      <c r="AM105" s="166">
        <f t="shared" si="56"/>
        <v>43.296289999999999</v>
      </c>
      <c r="AN105" s="229">
        <f t="shared" si="57"/>
        <v>55.108063000000001</v>
      </c>
    </row>
    <row r="106" spans="2:40" x14ac:dyDescent="0.25">
      <c r="B106" s="235" t="s">
        <v>174</v>
      </c>
      <c r="C106" s="1056" t="s">
        <v>313</v>
      </c>
      <c r="D106" s="1056"/>
      <c r="E106" s="236" t="s">
        <v>166</v>
      </c>
      <c r="F106" s="171">
        <v>24429.717000000001</v>
      </c>
      <c r="G106" s="170">
        <v>21638.715</v>
      </c>
      <c r="H106" s="170">
        <v>7761.1689999999999</v>
      </c>
      <c r="I106" s="239">
        <v>22559.951000000001</v>
      </c>
      <c r="J106" s="171">
        <v>15591.572</v>
      </c>
      <c r="K106" s="170">
        <v>18334.883999999998</v>
      </c>
      <c r="L106" s="170">
        <v>11366.137000000001</v>
      </c>
      <c r="M106" s="237">
        <v>26494.717000000001</v>
      </c>
      <c r="N106" s="238">
        <v>21023.035</v>
      </c>
      <c r="O106" s="170">
        <v>16647.553</v>
      </c>
      <c r="P106" s="170">
        <v>10148.928</v>
      </c>
      <c r="Q106" s="239">
        <v>9455.277</v>
      </c>
      <c r="R106" s="171">
        <v>6451.085</v>
      </c>
      <c r="S106" s="170">
        <v>26056.675999999999</v>
      </c>
      <c r="T106" s="170">
        <v>25100.655999999999</v>
      </c>
      <c r="U106" s="237">
        <v>6039.4430000000002</v>
      </c>
      <c r="V106" s="238">
        <v>9648.8310000000001</v>
      </c>
      <c r="W106" s="170">
        <v>4551.9160000000002</v>
      </c>
      <c r="X106" s="170">
        <v>10346.643</v>
      </c>
      <c r="Y106" s="237">
        <v>8880.7270000000008</v>
      </c>
      <c r="Z106" s="238">
        <v>12779.550999999999</v>
      </c>
      <c r="AA106" s="170">
        <v>21450.745999999999</v>
      </c>
      <c r="AB106" s="170">
        <v>21876.883999999998</v>
      </c>
      <c r="AC106" s="237">
        <v>12250.108</v>
      </c>
      <c r="AI106" s="171">
        <f t="shared" si="52"/>
        <v>76389.551999999996</v>
      </c>
      <c r="AJ106" s="170">
        <f t="shared" si="53"/>
        <v>71787.31</v>
      </c>
      <c r="AK106" s="170">
        <f t="shared" si="54"/>
        <v>57274.793000000005</v>
      </c>
      <c r="AL106" s="170">
        <f t="shared" si="55"/>
        <v>63647.86</v>
      </c>
      <c r="AM106" s="170">
        <f t="shared" si="56"/>
        <v>33428.116999999998</v>
      </c>
      <c r="AN106" s="237">
        <f t="shared" si="57"/>
        <v>68357.28899999999</v>
      </c>
    </row>
    <row r="107" spans="2:40" ht="15.75" thickBot="1" x14ac:dyDescent="0.3">
      <c r="B107" s="281" t="s">
        <v>174</v>
      </c>
      <c r="C107" s="1057"/>
      <c r="D107" s="1057"/>
      <c r="E107" s="280" t="s">
        <v>130</v>
      </c>
      <c r="F107" s="173">
        <v>14.453379</v>
      </c>
      <c r="G107" s="164">
        <v>12.748412999999999</v>
      </c>
      <c r="H107" s="164">
        <v>4.6414569999999999</v>
      </c>
      <c r="I107" s="282">
        <v>13.498809</v>
      </c>
      <c r="J107" s="173">
        <v>10.116837</v>
      </c>
      <c r="K107" s="164">
        <v>11.053096999999999</v>
      </c>
      <c r="L107" s="164">
        <v>6.5290350000000004</v>
      </c>
      <c r="M107" s="283">
        <v>15.619742</v>
      </c>
      <c r="N107" s="284">
        <v>12.562561000000001</v>
      </c>
      <c r="O107" s="164">
        <v>9.7198969999999996</v>
      </c>
      <c r="P107" s="164">
        <v>5.8694559999999996</v>
      </c>
      <c r="Q107" s="282">
        <v>5.6731809999999996</v>
      </c>
      <c r="R107" s="173">
        <v>4.0113000000000003</v>
      </c>
      <c r="S107" s="164">
        <v>16.460086</v>
      </c>
      <c r="T107" s="164">
        <v>15.358775</v>
      </c>
      <c r="U107" s="283">
        <v>3.6678060000000001</v>
      </c>
      <c r="V107" s="284">
        <v>5.1795200000000001</v>
      </c>
      <c r="W107" s="164">
        <v>2.7689010000000001</v>
      </c>
      <c r="X107" s="164">
        <v>5.1904570000000003</v>
      </c>
      <c r="Y107" s="283">
        <v>5.0279660000000002</v>
      </c>
      <c r="Z107" s="432">
        <v>7.2700740000000001</v>
      </c>
      <c r="AA107" s="431">
        <v>11.651802</v>
      </c>
      <c r="AB107" s="431">
        <v>13.098837</v>
      </c>
      <c r="AC107" s="433">
        <v>7.5408759999999999</v>
      </c>
      <c r="AI107" s="173">
        <f t="shared" si="52"/>
        <v>45.342057999999994</v>
      </c>
      <c r="AJ107" s="164">
        <f t="shared" si="53"/>
        <v>43.318711</v>
      </c>
      <c r="AK107" s="164">
        <f t="shared" si="54"/>
        <v>33.825094999999997</v>
      </c>
      <c r="AL107" s="164">
        <f t="shared" si="55"/>
        <v>39.497967000000003</v>
      </c>
      <c r="AM107" s="164">
        <f t="shared" si="56"/>
        <v>18.166844000000001</v>
      </c>
      <c r="AN107" s="283">
        <f t="shared" si="57"/>
        <v>39.561588999999998</v>
      </c>
    </row>
    <row r="108" spans="2:40" x14ac:dyDescent="0.25">
      <c r="B108" s="155" t="s">
        <v>174</v>
      </c>
      <c r="C108" s="1058" t="s">
        <v>314</v>
      </c>
      <c r="D108" s="1058"/>
      <c r="E108" s="156" t="s">
        <v>166</v>
      </c>
      <c r="F108" s="157">
        <v>207669.78</v>
      </c>
      <c r="G108" s="158">
        <v>185465.90900000001</v>
      </c>
      <c r="H108" s="158">
        <v>171845.981</v>
      </c>
      <c r="I108" s="161">
        <v>241521.761</v>
      </c>
      <c r="J108" s="157">
        <v>201401.00899999999</v>
      </c>
      <c r="K108" s="158">
        <v>192004.02</v>
      </c>
      <c r="L108" s="158">
        <v>190687.90100000001</v>
      </c>
      <c r="M108" s="159">
        <v>243054.83499999999</v>
      </c>
      <c r="N108" s="160">
        <v>200213.334</v>
      </c>
      <c r="O108" s="158">
        <v>159107.65400000001</v>
      </c>
      <c r="P108" s="158">
        <v>146125.19200000001</v>
      </c>
      <c r="Q108" s="161">
        <v>158851.43900000001</v>
      </c>
      <c r="R108" s="157">
        <v>154851.28400000001</v>
      </c>
      <c r="S108" s="158">
        <v>167755.40599999999</v>
      </c>
      <c r="T108" s="158">
        <v>140309.22500000001</v>
      </c>
      <c r="U108" s="159">
        <v>208375.31200000001</v>
      </c>
      <c r="V108" s="160">
        <v>197527.88500000001</v>
      </c>
      <c r="W108" s="158">
        <v>191259.70499999999</v>
      </c>
      <c r="X108" s="158">
        <v>186190.291</v>
      </c>
      <c r="Y108" s="159">
        <v>188476.62299999999</v>
      </c>
      <c r="Z108" s="426">
        <v>198204.465</v>
      </c>
      <c r="AA108" s="424">
        <v>150044.005</v>
      </c>
      <c r="AB108" s="424">
        <v>152397.08900000001</v>
      </c>
      <c r="AC108" s="425">
        <v>210907.34899999999</v>
      </c>
      <c r="AI108" s="157">
        <f t="shared" si="52"/>
        <v>806503.4310000001</v>
      </c>
      <c r="AJ108" s="158">
        <f t="shared" si="53"/>
        <v>827147.7649999999</v>
      </c>
      <c r="AK108" s="158">
        <f t="shared" si="54"/>
        <v>664297.61900000006</v>
      </c>
      <c r="AL108" s="158">
        <f t="shared" si="55"/>
        <v>671291.22700000007</v>
      </c>
      <c r="AM108" s="158">
        <f t="shared" si="56"/>
        <v>763454.50399999996</v>
      </c>
      <c r="AN108" s="159">
        <f t="shared" si="57"/>
        <v>711552.90800000005</v>
      </c>
    </row>
    <row r="109" spans="2:40" ht="15.75" thickBot="1" x14ac:dyDescent="0.3">
      <c r="B109" s="228" t="s">
        <v>174</v>
      </c>
      <c r="C109" s="1059"/>
      <c r="D109" s="1059"/>
      <c r="E109" s="279" t="s">
        <v>130</v>
      </c>
      <c r="F109" s="165">
        <v>153.20261199999999</v>
      </c>
      <c r="G109" s="166">
        <v>136.64848499999999</v>
      </c>
      <c r="H109" s="166">
        <v>128.42836500000001</v>
      </c>
      <c r="I109" s="231">
        <v>166.21963099999999</v>
      </c>
      <c r="J109" s="165">
        <v>138.25735800000001</v>
      </c>
      <c r="K109" s="166">
        <v>143.17577600000001</v>
      </c>
      <c r="L109" s="166">
        <v>148.09934999999999</v>
      </c>
      <c r="M109" s="229">
        <v>192.394801</v>
      </c>
      <c r="N109" s="230">
        <v>148.12388899999999</v>
      </c>
      <c r="O109" s="166">
        <v>125.94355899999999</v>
      </c>
      <c r="P109" s="166">
        <v>112.404071</v>
      </c>
      <c r="Q109" s="231">
        <v>124.120977</v>
      </c>
      <c r="R109" s="165">
        <v>121.27533699999999</v>
      </c>
      <c r="S109" s="166">
        <v>133.27577500000001</v>
      </c>
      <c r="T109" s="166">
        <v>111.30535500000001</v>
      </c>
      <c r="U109" s="229">
        <v>153.427156</v>
      </c>
      <c r="V109" s="230">
        <v>137.87740500000001</v>
      </c>
      <c r="W109" s="166">
        <v>135.91895700000001</v>
      </c>
      <c r="X109" s="166">
        <v>133.949487</v>
      </c>
      <c r="Y109" s="229">
        <v>143.73641799999999</v>
      </c>
      <c r="Z109" s="429">
        <v>155.31094200000001</v>
      </c>
      <c r="AA109" s="428">
        <v>122.00125</v>
      </c>
      <c r="AB109" s="428">
        <v>120.982096</v>
      </c>
      <c r="AC109" s="430">
        <v>179.44428500000001</v>
      </c>
      <c r="AI109" s="165">
        <f t="shared" si="52"/>
        <v>584.4990929999999</v>
      </c>
      <c r="AJ109" s="166">
        <f t="shared" si="53"/>
        <v>621.92728499999998</v>
      </c>
      <c r="AK109" s="166">
        <f t="shared" si="54"/>
        <v>510.59249599999998</v>
      </c>
      <c r="AL109" s="166">
        <f t="shared" si="55"/>
        <v>519.28362300000003</v>
      </c>
      <c r="AM109" s="166">
        <f t="shared" si="56"/>
        <v>551.48226699999998</v>
      </c>
      <c r="AN109" s="229">
        <f t="shared" si="57"/>
        <v>577.73857299999997</v>
      </c>
    </row>
    <row r="110" spans="2:40" x14ac:dyDescent="0.25">
      <c r="B110" s="235" t="s">
        <v>174</v>
      </c>
      <c r="C110" s="1056" t="s">
        <v>315</v>
      </c>
      <c r="D110" s="1056"/>
      <c r="E110" s="236" t="s">
        <v>166</v>
      </c>
      <c r="F110" s="171">
        <v>44591.195</v>
      </c>
      <c r="G110" s="170">
        <v>56279.474000000002</v>
      </c>
      <c r="H110" s="170">
        <v>61530.665000000001</v>
      </c>
      <c r="I110" s="239">
        <v>49295.796999999999</v>
      </c>
      <c r="J110" s="171">
        <v>45718.696000000004</v>
      </c>
      <c r="K110" s="170">
        <v>64430.571000000004</v>
      </c>
      <c r="L110" s="170">
        <v>38796.959000000003</v>
      </c>
      <c r="M110" s="237">
        <v>50335.794999999998</v>
      </c>
      <c r="N110" s="238">
        <v>49396.080999999998</v>
      </c>
      <c r="O110" s="170">
        <v>51205.572</v>
      </c>
      <c r="P110" s="170">
        <v>45712.004999999997</v>
      </c>
      <c r="Q110" s="239">
        <v>32434.705000000002</v>
      </c>
      <c r="R110" s="171">
        <v>44652.474000000002</v>
      </c>
      <c r="S110" s="170">
        <v>84943.236999999994</v>
      </c>
      <c r="T110" s="170">
        <v>80682.471999999994</v>
      </c>
      <c r="U110" s="237">
        <v>35739.667999999998</v>
      </c>
      <c r="V110" s="238">
        <v>48599.921999999999</v>
      </c>
      <c r="W110" s="170">
        <v>71994.266000000003</v>
      </c>
      <c r="X110" s="170">
        <v>68017.898000000001</v>
      </c>
      <c r="Y110" s="237">
        <v>61094.120999999999</v>
      </c>
      <c r="Z110" s="238">
        <v>64281.64</v>
      </c>
      <c r="AA110" s="170">
        <v>109375.281</v>
      </c>
      <c r="AB110" s="170">
        <v>118717.23699999999</v>
      </c>
      <c r="AC110" s="237">
        <v>100693.558</v>
      </c>
      <c r="AI110" s="171">
        <f t="shared" si="52"/>
        <v>211697.13099999999</v>
      </c>
      <c r="AJ110" s="170">
        <f t="shared" si="53"/>
        <v>199282.02100000001</v>
      </c>
      <c r="AK110" s="170">
        <f t="shared" si="54"/>
        <v>178748.36300000001</v>
      </c>
      <c r="AL110" s="170">
        <f t="shared" si="55"/>
        <v>246017.851</v>
      </c>
      <c r="AM110" s="170">
        <f t="shared" si="56"/>
        <v>249706.20699999999</v>
      </c>
      <c r="AN110" s="237">
        <f t="shared" si="57"/>
        <v>393067.71600000001</v>
      </c>
    </row>
    <row r="111" spans="2:40" ht="15.75" thickBot="1" x14ac:dyDescent="0.3">
      <c r="B111" s="281" t="s">
        <v>174</v>
      </c>
      <c r="C111" s="1057"/>
      <c r="D111" s="1057"/>
      <c r="E111" s="280" t="s">
        <v>130</v>
      </c>
      <c r="F111" s="173">
        <v>27.482250000000001</v>
      </c>
      <c r="G111" s="164">
        <v>32.784001000000004</v>
      </c>
      <c r="H111" s="164">
        <v>36.559376</v>
      </c>
      <c r="I111" s="282">
        <v>29.932915999999999</v>
      </c>
      <c r="J111" s="173">
        <v>30.068722000000001</v>
      </c>
      <c r="K111" s="164">
        <v>38.727086999999997</v>
      </c>
      <c r="L111" s="164">
        <v>23.817387</v>
      </c>
      <c r="M111" s="283">
        <v>30.368214999999999</v>
      </c>
      <c r="N111" s="284">
        <v>30.138929999999998</v>
      </c>
      <c r="O111" s="164">
        <v>31.068830999999999</v>
      </c>
      <c r="P111" s="164">
        <v>26.983504</v>
      </c>
      <c r="Q111" s="282">
        <v>19.842264</v>
      </c>
      <c r="R111" s="173">
        <v>30.098903</v>
      </c>
      <c r="S111" s="164">
        <v>59.585262</v>
      </c>
      <c r="T111" s="164">
        <v>54.669142999999998</v>
      </c>
      <c r="U111" s="283">
        <v>24.699762</v>
      </c>
      <c r="V111" s="284">
        <v>31.835360999999999</v>
      </c>
      <c r="W111" s="164">
        <v>57.601230999999999</v>
      </c>
      <c r="X111" s="164">
        <v>45.784517999999998</v>
      </c>
      <c r="Y111" s="283">
        <v>41.419344000000002</v>
      </c>
      <c r="Z111" s="432">
        <v>49.675057000000002</v>
      </c>
      <c r="AA111" s="431">
        <v>76.368703999999994</v>
      </c>
      <c r="AB111" s="431">
        <v>80.248548</v>
      </c>
      <c r="AC111" s="433">
        <v>77.919532000000004</v>
      </c>
      <c r="AI111" s="173">
        <f t="shared" si="52"/>
        <v>126.758543</v>
      </c>
      <c r="AJ111" s="164">
        <f t="shared" si="53"/>
        <v>122.98141099999998</v>
      </c>
      <c r="AK111" s="164">
        <f t="shared" si="54"/>
        <v>108.033529</v>
      </c>
      <c r="AL111" s="164">
        <f t="shared" si="55"/>
        <v>169.05306999999999</v>
      </c>
      <c r="AM111" s="164">
        <f t="shared" si="56"/>
        <v>176.64045399999998</v>
      </c>
      <c r="AN111" s="283">
        <f t="shared" si="57"/>
        <v>284.21184099999999</v>
      </c>
    </row>
    <row r="112" spans="2:40" x14ac:dyDescent="0.25">
      <c r="B112" s="155" t="s">
        <v>167</v>
      </c>
      <c r="C112" s="1058" t="s">
        <v>316</v>
      </c>
      <c r="D112" s="1058"/>
      <c r="E112" s="156" t="s">
        <v>166</v>
      </c>
      <c r="F112" s="157">
        <v>56</v>
      </c>
      <c r="G112" s="158">
        <v>8159.2</v>
      </c>
      <c r="H112" s="158">
        <v>8.1</v>
      </c>
      <c r="I112" s="161">
        <v>24.4</v>
      </c>
      <c r="J112" s="157">
        <v>44.9</v>
      </c>
      <c r="K112" s="158">
        <v>25.7</v>
      </c>
      <c r="L112" s="158">
        <v>5.4</v>
      </c>
      <c r="M112" s="159">
        <v>70</v>
      </c>
      <c r="N112" s="160">
        <v>91.3</v>
      </c>
      <c r="O112" s="158">
        <v>12.3</v>
      </c>
      <c r="P112" s="158">
        <v>39.1</v>
      </c>
      <c r="Q112" s="161">
        <v>29.7</v>
      </c>
      <c r="R112" s="157">
        <v>22.6</v>
      </c>
      <c r="S112" s="158">
        <v>44.4</v>
      </c>
      <c r="T112" s="158">
        <v>57.3</v>
      </c>
      <c r="U112" s="159">
        <v>24.4</v>
      </c>
      <c r="V112" s="160">
        <v>45</v>
      </c>
      <c r="W112" s="158">
        <v>61.9</v>
      </c>
      <c r="X112" s="158">
        <v>65.599999999999994</v>
      </c>
      <c r="Y112" s="159">
        <v>67.7</v>
      </c>
      <c r="Z112" s="426">
        <v>64.599999999999994</v>
      </c>
      <c r="AA112" s="424">
        <v>51.7</v>
      </c>
      <c r="AB112" s="424">
        <v>79</v>
      </c>
      <c r="AC112" s="425">
        <v>79.8</v>
      </c>
      <c r="AI112" s="157">
        <f t="shared" si="52"/>
        <v>8247.7000000000007</v>
      </c>
      <c r="AJ112" s="158">
        <f t="shared" si="53"/>
        <v>146</v>
      </c>
      <c r="AK112" s="158">
        <f t="shared" si="54"/>
        <v>172.39999999999998</v>
      </c>
      <c r="AL112" s="158">
        <f t="shared" si="55"/>
        <v>148.69999999999999</v>
      </c>
      <c r="AM112" s="158">
        <f t="shared" si="56"/>
        <v>240.2</v>
      </c>
      <c r="AN112" s="159">
        <f t="shared" si="57"/>
        <v>275.10000000000002</v>
      </c>
    </row>
    <row r="113" spans="2:40" ht="15.75" thickBot="1" x14ac:dyDescent="0.3">
      <c r="B113" s="228" t="s">
        <v>174</v>
      </c>
      <c r="C113" s="1059"/>
      <c r="D113" s="1059"/>
      <c r="E113" s="279" t="s">
        <v>130</v>
      </c>
      <c r="F113" s="165">
        <v>0.11483599999999999</v>
      </c>
      <c r="G113" s="166">
        <v>4.5559349999999998</v>
      </c>
      <c r="H113" s="166">
        <v>2.4344999999999999E-2</v>
      </c>
      <c r="I113" s="231">
        <v>5.1952999999999999E-2</v>
      </c>
      <c r="J113" s="165">
        <v>9.0121999999999994E-2</v>
      </c>
      <c r="K113" s="166">
        <v>5.0741000000000001E-2</v>
      </c>
      <c r="L113" s="166">
        <v>1.7326999999999999E-2</v>
      </c>
      <c r="M113" s="229">
        <v>0.110764</v>
      </c>
      <c r="N113" s="230">
        <v>0.15747800000000001</v>
      </c>
      <c r="O113" s="166">
        <v>2.0216999999999999E-2</v>
      </c>
      <c r="P113" s="166">
        <v>4.6377000000000002E-2</v>
      </c>
      <c r="Q113" s="231">
        <v>4.7604E-2</v>
      </c>
      <c r="R113" s="165">
        <v>1.3618999999999999E-2</v>
      </c>
      <c r="S113" s="166">
        <v>5.4073999999999997E-2</v>
      </c>
      <c r="T113" s="166">
        <v>3.9462999999999998E-2</v>
      </c>
      <c r="U113" s="229">
        <v>1.9606999999999999E-2</v>
      </c>
      <c r="V113" s="230">
        <v>7.5426999999999994E-2</v>
      </c>
      <c r="W113" s="166">
        <v>0.12792899999999999</v>
      </c>
      <c r="X113" s="166">
        <v>0.101646</v>
      </c>
      <c r="Y113" s="229">
        <v>9.8781999999999995E-2</v>
      </c>
      <c r="Z113" s="429">
        <v>0.161437</v>
      </c>
      <c r="AA113" s="428">
        <v>0.12547700000000001</v>
      </c>
      <c r="AB113" s="428">
        <v>0.11777700000000001</v>
      </c>
      <c r="AC113" s="430">
        <v>0.176923</v>
      </c>
      <c r="AI113" s="165">
        <f t="shared" si="52"/>
        <v>4.7470690000000006</v>
      </c>
      <c r="AJ113" s="166">
        <f t="shared" si="53"/>
        <v>0.26895400000000003</v>
      </c>
      <c r="AK113" s="166">
        <f>SUM(N113:Q113)</f>
        <v>0.27167599999999997</v>
      </c>
      <c r="AL113" s="166">
        <f>SUM(R113:U113)</f>
        <v>0.12676300000000001</v>
      </c>
      <c r="AM113" s="166">
        <f>SUM(V113:Y113)</f>
        <v>0.40378399999999998</v>
      </c>
      <c r="AN113" s="229">
        <f t="shared" si="57"/>
        <v>0.58161400000000008</v>
      </c>
    </row>
    <row r="114" spans="2:40" x14ac:dyDescent="0.25">
      <c r="B114" s="235" t="s">
        <v>174</v>
      </c>
      <c r="C114" s="1056" t="s">
        <v>317</v>
      </c>
      <c r="D114" s="1056"/>
      <c r="E114" s="236" t="s">
        <v>166</v>
      </c>
      <c r="F114" s="171">
        <v>11.1</v>
      </c>
      <c r="G114" s="170">
        <v>0</v>
      </c>
      <c r="H114" s="170">
        <v>12.1</v>
      </c>
      <c r="I114" s="239">
        <v>1.7</v>
      </c>
      <c r="J114" s="171">
        <v>1.2</v>
      </c>
      <c r="K114" s="170">
        <v>0.6</v>
      </c>
      <c r="L114" s="170">
        <v>0.7</v>
      </c>
      <c r="M114" s="237">
        <v>0.3</v>
      </c>
      <c r="N114" s="238">
        <v>0.2</v>
      </c>
      <c r="O114" s="170">
        <v>1</v>
      </c>
      <c r="P114" s="170">
        <v>0.9</v>
      </c>
      <c r="Q114" s="239">
        <v>1.1000000000000001</v>
      </c>
      <c r="R114" s="171">
        <v>1.6</v>
      </c>
      <c r="S114" s="170">
        <v>2.8</v>
      </c>
      <c r="T114" s="170">
        <v>2.6</v>
      </c>
      <c r="U114" s="237">
        <v>1.6</v>
      </c>
      <c r="V114" s="238">
        <v>1.3</v>
      </c>
      <c r="W114" s="170">
        <v>17</v>
      </c>
      <c r="X114" s="170">
        <v>52.1</v>
      </c>
      <c r="Y114" s="237">
        <v>68.400000000000006</v>
      </c>
      <c r="Z114" s="238">
        <v>100</v>
      </c>
      <c r="AA114" s="170">
        <v>46.6</v>
      </c>
      <c r="AB114" s="170">
        <v>4966.5</v>
      </c>
      <c r="AC114" s="237">
        <v>7384.5</v>
      </c>
      <c r="AI114" s="171">
        <f t="shared" si="52"/>
        <v>24.9</v>
      </c>
      <c r="AJ114" s="170">
        <f t="shared" si="53"/>
        <v>2.8</v>
      </c>
      <c r="AK114" s="170">
        <f t="shared" ref="AK114" si="58">SUM(N114:Q114)</f>
        <v>3.2</v>
      </c>
      <c r="AL114" s="170">
        <f t="shared" ref="AL114" si="59">SUM(R114:U114)</f>
        <v>8.6</v>
      </c>
      <c r="AM114" s="170">
        <f t="shared" ref="AM114" si="60">SUM(V114:Y114)</f>
        <v>138.80000000000001</v>
      </c>
      <c r="AN114" s="237">
        <f t="shared" si="57"/>
        <v>12497.6</v>
      </c>
    </row>
    <row r="115" spans="2:40" ht="15.75" thickBot="1" x14ac:dyDescent="0.3">
      <c r="B115" s="281" t="s">
        <v>174</v>
      </c>
      <c r="C115" s="1057"/>
      <c r="D115" s="1057"/>
      <c r="E115" s="280" t="s">
        <v>130</v>
      </c>
      <c r="F115" s="173">
        <v>1.4989000000000001E-2</v>
      </c>
      <c r="G115" s="164">
        <v>3.9290000000000002E-3</v>
      </c>
      <c r="H115" s="164">
        <v>2.9061E-2</v>
      </c>
      <c r="I115" s="282">
        <v>5.4140000000000004E-3</v>
      </c>
      <c r="J115" s="173">
        <v>3.3066999999999999E-2</v>
      </c>
      <c r="K115" s="164">
        <v>4.3740000000000003E-3</v>
      </c>
      <c r="L115" s="164">
        <v>5.9699999999999996E-3</v>
      </c>
      <c r="M115" s="283">
        <v>7.4120000000000002E-3</v>
      </c>
      <c r="N115" s="284">
        <v>1.7179999999999999E-3</v>
      </c>
      <c r="O115" s="164">
        <v>1.6570000000000001E-3</v>
      </c>
      <c r="P115" s="164">
        <v>1.0877E-2</v>
      </c>
      <c r="Q115" s="282">
        <v>1.4396000000000001E-2</v>
      </c>
      <c r="R115" s="173">
        <v>6.9950000000000003E-3</v>
      </c>
      <c r="S115" s="164">
        <v>2.1017999999999998E-2</v>
      </c>
      <c r="T115" s="164">
        <v>2.5602E-2</v>
      </c>
      <c r="U115" s="283">
        <v>1.3991999999999999E-2</v>
      </c>
      <c r="V115" s="284">
        <v>1.392E-2</v>
      </c>
      <c r="W115" s="164">
        <v>3.5615000000000001E-2</v>
      </c>
      <c r="X115" s="164">
        <v>0.13611999999999999</v>
      </c>
      <c r="Y115" s="283">
        <v>0.141314</v>
      </c>
      <c r="Z115" s="284">
        <v>0.23900399999999999</v>
      </c>
      <c r="AA115" s="164">
        <v>0.14780299999999999</v>
      </c>
      <c r="AB115" s="164">
        <v>2.9262450000000002</v>
      </c>
      <c r="AC115" s="283">
        <v>4.0207680000000003</v>
      </c>
      <c r="AI115" s="173">
        <f t="shared" si="52"/>
        <v>5.3393000000000003E-2</v>
      </c>
      <c r="AJ115" s="164">
        <f t="shared" si="53"/>
        <v>5.0823000000000007E-2</v>
      </c>
      <c r="AK115" s="164">
        <f>SUM(N115:Q115)</f>
        <v>2.8648E-2</v>
      </c>
      <c r="AL115" s="164">
        <f>SUM(R115:U115)</f>
        <v>6.7607E-2</v>
      </c>
      <c r="AM115" s="164">
        <f>SUM(V115:Y115)</f>
        <v>0.32696899999999995</v>
      </c>
      <c r="AN115" s="283">
        <f t="shared" si="57"/>
        <v>7.3338200000000011</v>
      </c>
    </row>
    <row r="116" spans="2:40" x14ac:dyDescent="0.25">
      <c r="B116" s="155" t="s">
        <v>174</v>
      </c>
      <c r="C116" s="1058" t="s">
        <v>318</v>
      </c>
      <c r="D116" s="1058"/>
      <c r="E116" s="156" t="s">
        <v>166</v>
      </c>
      <c r="F116" s="157">
        <v>64100</v>
      </c>
      <c r="G116" s="158">
        <v>60767.199999999997</v>
      </c>
      <c r="H116" s="158">
        <v>20396.599999999999</v>
      </c>
      <c r="I116" s="161">
        <v>68310.399999999994</v>
      </c>
      <c r="J116" s="157">
        <v>59492</v>
      </c>
      <c r="K116" s="158">
        <v>31229</v>
      </c>
      <c r="L116" s="158">
        <v>40274.9</v>
      </c>
      <c r="M116" s="159">
        <v>32823.9</v>
      </c>
      <c r="N116" s="160">
        <v>36068.400000000001</v>
      </c>
      <c r="O116" s="158">
        <v>40046.6</v>
      </c>
      <c r="P116" s="158">
        <v>31550.2</v>
      </c>
      <c r="Q116" s="161">
        <v>46915</v>
      </c>
      <c r="R116" s="157">
        <v>45254.9</v>
      </c>
      <c r="S116" s="158">
        <v>39026.5</v>
      </c>
      <c r="T116" s="158">
        <v>42673.1</v>
      </c>
      <c r="U116" s="159">
        <v>45879.8</v>
      </c>
      <c r="V116" s="160">
        <v>45665.7</v>
      </c>
      <c r="W116" s="158">
        <v>53503.3</v>
      </c>
      <c r="X116" s="158">
        <v>39915.599999999999</v>
      </c>
      <c r="Y116" s="159">
        <v>44712.1</v>
      </c>
      <c r="Z116" s="160">
        <v>46490.5</v>
      </c>
      <c r="AA116" s="158">
        <v>51809</v>
      </c>
      <c r="AB116" s="158">
        <v>51726</v>
      </c>
      <c r="AC116" s="159">
        <v>50940.3</v>
      </c>
      <c r="AI116" s="157">
        <f t="shared" si="52"/>
        <v>213574.19999999998</v>
      </c>
      <c r="AJ116" s="158">
        <f t="shared" si="53"/>
        <v>163819.79999999999</v>
      </c>
      <c r="AK116" s="158">
        <f t="shared" ref="AK116" si="61">SUM(N116:Q116)</f>
        <v>154580.20000000001</v>
      </c>
      <c r="AL116" s="158">
        <f t="shared" ref="AL116" si="62">SUM(R116:U116)</f>
        <v>172834.3</v>
      </c>
      <c r="AM116" s="158">
        <f t="shared" ref="AM116" si="63">SUM(V116:Y116)</f>
        <v>183796.7</v>
      </c>
      <c r="AN116" s="159">
        <f t="shared" si="57"/>
        <v>200965.8</v>
      </c>
    </row>
    <row r="117" spans="2:40" ht="15.75" thickBot="1" x14ac:dyDescent="0.3">
      <c r="B117" s="228" t="s">
        <v>174</v>
      </c>
      <c r="C117" s="1059"/>
      <c r="D117" s="1059"/>
      <c r="E117" s="279" t="s">
        <v>130</v>
      </c>
      <c r="F117" s="165">
        <v>47.301391000000002</v>
      </c>
      <c r="G117" s="166">
        <v>51.819358999999999</v>
      </c>
      <c r="H117" s="166">
        <v>24.374462000000001</v>
      </c>
      <c r="I117" s="231">
        <v>54.992306999999997</v>
      </c>
      <c r="J117" s="165">
        <v>46.627566999999999</v>
      </c>
      <c r="K117" s="166">
        <v>33.142767999999997</v>
      </c>
      <c r="L117" s="166">
        <v>40.638142999999999</v>
      </c>
      <c r="M117" s="229">
        <v>35.500523999999999</v>
      </c>
      <c r="N117" s="230">
        <v>35.582926</v>
      </c>
      <c r="O117" s="166">
        <v>41.085211000000001</v>
      </c>
      <c r="P117" s="166">
        <v>35.670704000000001</v>
      </c>
      <c r="Q117" s="231">
        <v>46.967793</v>
      </c>
      <c r="R117" s="165">
        <v>43.635005</v>
      </c>
      <c r="S117" s="166">
        <v>39.281002999999998</v>
      </c>
      <c r="T117" s="166">
        <v>43.422735000000003</v>
      </c>
      <c r="U117" s="229">
        <v>49.269584000000002</v>
      </c>
      <c r="V117" s="230">
        <v>43.296751999999998</v>
      </c>
      <c r="W117" s="166">
        <v>51.726534999999998</v>
      </c>
      <c r="X117" s="166">
        <v>49.077008999999997</v>
      </c>
      <c r="Y117" s="229">
        <v>45.384824999999999</v>
      </c>
      <c r="Z117" s="429">
        <v>50.080654000000003</v>
      </c>
      <c r="AA117" s="428">
        <v>57.273634999999999</v>
      </c>
      <c r="AB117" s="428">
        <v>55.948675000000001</v>
      </c>
      <c r="AC117" s="430">
        <v>52.184271000000003</v>
      </c>
      <c r="AI117" s="165">
        <f t="shared" si="52"/>
        <v>178.48751900000002</v>
      </c>
      <c r="AJ117" s="166">
        <f t="shared" si="53"/>
        <v>155.90900199999999</v>
      </c>
      <c r="AK117" s="166">
        <f>SUM(N117:Q117)</f>
        <v>159.306634</v>
      </c>
      <c r="AL117" s="166">
        <f>SUM(R117:U117)</f>
        <v>175.608327</v>
      </c>
      <c r="AM117" s="166">
        <f>SUM(V117:Y117)</f>
        <v>189.48512099999999</v>
      </c>
      <c r="AN117" s="229">
        <f t="shared" si="57"/>
        <v>215.487235</v>
      </c>
    </row>
    <row r="118" spans="2:40" x14ac:dyDescent="0.25">
      <c r="B118" s="235" t="s">
        <v>174</v>
      </c>
      <c r="C118" s="1056" t="s">
        <v>319</v>
      </c>
      <c r="D118" s="1056"/>
      <c r="E118" s="236" t="s">
        <v>166</v>
      </c>
      <c r="F118" s="171">
        <v>155271.29999999999</v>
      </c>
      <c r="G118" s="170">
        <v>128086.9</v>
      </c>
      <c r="H118" s="170">
        <v>111687.3</v>
      </c>
      <c r="I118" s="239">
        <v>105152.1</v>
      </c>
      <c r="J118" s="171">
        <v>76881.399999999994</v>
      </c>
      <c r="K118" s="170">
        <v>124141.8</v>
      </c>
      <c r="L118" s="170">
        <v>101241.4</v>
      </c>
      <c r="M118" s="237">
        <v>169356.3</v>
      </c>
      <c r="N118" s="238">
        <v>151648.4</v>
      </c>
      <c r="O118" s="170">
        <v>143854.39999999999</v>
      </c>
      <c r="P118" s="170">
        <v>108137.3</v>
      </c>
      <c r="Q118" s="239">
        <v>98103.4</v>
      </c>
      <c r="R118" s="171">
        <v>81909.5</v>
      </c>
      <c r="S118" s="170">
        <v>138763.29999999999</v>
      </c>
      <c r="T118" s="170">
        <v>120654.1</v>
      </c>
      <c r="U118" s="237">
        <v>103218.3</v>
      </c>
      <c r="V118" s="238">
        <v>120253.9</v>
      </c>
      <c r="W118" s="170">
        <v>114342.7</v>
      </c>
      <c r="X118" s="170">
        <v>134917.1</v>
      </c>
      <c r="Y118" s="237">
        <v>153264.9</v>
      </c>
      <c r="Z118" s="238">
        <v>221805.7</v>
      </c>
      <c r="AA118" s="170">
        <v>273053.8</v>
      </c>
      <c r="AB118" s="170">
        <v>309011.5</v>
      </c>
      <c r="AC118" s="237">
        <v>259825.2</v>
      </c>
      <c r="AI118" s="171">
        <f t="shared" si="52"/>
        <v>500197.6</v>
      </c>
      <c r="AJ118" s="170">
        <f t="shared" si="53"/>
        <v>471620.89999999997</v>
      </c>
      <c r="AK118" s="170">
        <f>SUM(N118:Q118)</f>
        <v>501743.5</v>
      </c>
      <c r="AL118" s="170">
        <f>SUM(R118:U118)</f>
        <v>444545.2</v>
      </c>
      <c r="AM118" s="170">
        <f>SUM(V118:Y118)</f>
        <v>522778.6</v>
      </c>
      <c r="AN118" s="237">
        <f t="shared" si="57"/>
        <v>1063696.2</v>
      </c>
    </row>
    <row r="119" spans="2:40" ht="15.75" thickBot="1" x14ac:dyDescent="0.3">
      <c r="B119" s="281" t="s">
        <v>174</v>
      </c>
      <c r="C119" s="1057"/>
      <c r="D119" s="1057"/>
      <c r="E119" s="280" t="s">
        <v>130</v>
      </c>
      <c r="F119" s="173">
        <v>111.017633</v>
      </c>
      <c r="G119" s="164">
        <v>85.273122999999998</v>
      </c>
      <c r="H119" s="164">
        <v>73.438137999999995</v>
      </c>
      <c r="I119" s="282">
        <v>67.975576000000004</v>
      </c>
      <c r="J119" s="173">
        <v>49.765439999999998</v>
      </c>
      <c r="K119" s="164">
        <v>78.567070000000001</v>
      </c>
      <c r="L119" s="164">
        <v>65.807514999999995</v>
      </c>
      <c r="M119" s="283">
        <v>111.339794</v>
      </c>
      <c r="N119" s="284">
        <v>97.670934000000003</v>
      </c>
      <c r="O119" s="164">
        <v>93.039646000000005</v>
      </c>
      <c r="P119" s="164">
        <v>71.911147</v>
      </c>
      <c r="Q119" s="282">
        <v>61.423993000000003</v>
      </c>
      <c r="R119" s="173">
        <v>50.975543000000002</v>
      </c>
      <c r="S119" s="164">
        <v>87.479229000000004</v>
      </c>
      <c r="T119" s="164">
        <v>77.456659999999999</v>
      </c>
      <c r="U119" s="283">
        <v>67.227316999999999</v>
      </c>
      <c r="V119" s="284">
        <v>72.008336999999997</v>
      </c>
      <c r="W119" s="164">
        <v>69.221289999999996</v>
      </c>
      <c r="X119" s="164">
        <v>77.287069000000002</v>
      </c>
      <c r="Y119" s="283">
        <v>88.521179000000004</v>
      </c>
      <c r="Z119" s="432">
        <v>128.22304099999999</v>
      </c>
      <c r="AA119" s="431">
        <v>162.92320799999999</v>
      </c>
      <c r="AB119" s="431">
        <v>184.33063300000001</v>
      </c>
      <c r="AC119" s="433">
        <v>156.461477</v>
      </c>
      <c r="AI119" s="232">
        <f t="shared" si="52"/>
        <v>337.70446999999996</v>
      </c>
      <c r="AJ119" s="233">
        <f t="shared" si="53"/>
        <v>305.47981900000002</v>
      </c>
      <c r="AK119" s="233">
        <f t="shared" ref="AK119" si="64">SUM(N119:Q119)</f>
        <v>324.04571999999996</v>
      </c>
      <c r="AL119" s="233">
        <f t="shared" ref="AL119" si="65">SUM(R119:U119)</f>
        <v>283.13874899999996</v>
      </c>
      <c r="AM119" s="233">
        <f t="shared" ref="AM119" si="66">SUM(V119:Y119)</f>
        <v>307.03787499999999</v>
      </c>
      <c r="AN119" s="234">
        <f t="shared" si="57"/>
        <v>631.93835899999999</v>
      </c>
    </row>
    <row r="123" spans="2:40" x14ac:dyDescent="0.25">
      <c r="AI123" s="483">
        <f>IFERROR((AI55-AI100)/AI100,)</f>
        <v>0</v>
      </c>
      <c r="AJ123" s="483">
        <f t="shared" ref="AJ123:AN123" si="67">IFERROR((AJ55-AJ100)/AJ100,)</f>
        <v>0</v>
      </c>
      <c r="AK123" s="483">
        <f t="shared" si="67"/>
        <v>0</v>
      </c>
      <c r="AL123" s="483">
        <f t="shared" si="67"/>
        <v>0</v>
      </c>
      <c r="AM123" s="483">
        <f t="shared" si="67"/>
        <v>0</v>
      </c>
      <c r="AN123" s="483">
        <f t="shared" si="67"/>
        <v>0</v>
      </c>
    </row>
    <row r="124" spans="2:40" x14ac:dyDescent="0.25">
      <c r="AI124" s="483">
        <f t="shared" ref="AI124:AN124" si="68">IFERROR((AI56-AI101)/AI101,)</f>
        <v>0</v>
      </c>
      <c r="AJ124" s="483">
        <f t="shared" si="68"/>
        <v>0</v>
      </c>
      <c r="AK124" s="483">
        <f t="shared" si="68"/>
        <v>0</v>
      </c>
      <c r="AL124" s="483">
        <f t="shared" si="68"/>
        <v>0</v>
      </c>
      <c r="AM124" s="483">
        <f t="shared" si="68"/>
        <v>0</v>
      </c>
      <c r="AN124" s="483">
        <f t="shared" si="68"/>
        <v>0</v>
      </c>
    </row>
    <row r="125" spans="2:40" x14ac:dyDescent="0.25">
      <c r="AI125" s="483">
        <f t="shared" ref="AI125:AN125" si="69">IFERROR((AI57-AI102)/AI102,)</f>
        <v>0</v>
      </c>
      <c r="AJ125" s="483">
        <f t="shared" si="69"/>
        <v>0</v>
      </c>
      <c r="AK125" s="483">
        <f t="shared" si="69"/>
        <v>0</v>
      </c>
      <c r="AL125" s="483">
        <f t="shared" si="69"/>
        <v>0</v>
      </c>
      <c r="AM125" s="483">
        <f t="shared" si="69"/>
        <v>0</v>
      </c>
      <c r="AN125" s="483">
        <f t="shared" si="69"/>
        <v>0</v>
      </c>
    </row>
    <row r="126" spans="2:40" x14ac:dyDescent="0.25">
      <c r="AI126" s="483">
        <f t="shared" ref="AI126:AN126" si="70">IFERROR((AI58-AI103)/AI103,)</f>
        <v>0</v>
      </c>
      <c r="AJ126" s="483">
        <f t="shared" si="70"/>
        <v>0</v>
      </c>
      <c r="AK126" s="483">
        <f t="shared" si="70"/>
        <v>0</v>
      </c>
      <c r="AL126" s="483">
        <f t="shared" si="70"/>
        <v>0</v>
      </c>
      <c r="AM126" s="483">
        <f t="shared" si="70"/>
        <v>0</v>
      </c>
      <c r="AN126" s="483">
        <f t="shared" si="70"/>
        <v>0</v>
      </c>
    </row>
    <row r="127" spans="2:40" x14ac:dyDescent="0.25">
      <c r="AI127" s="483">
        <f t="shared" ref="AI127:AN127" si="71">IFERROR((AI59-AI104)/AI104,)</f>
        <v>0</v>
      </c>
      <c r="AJ127" s="483">
        <f t="shared" si="71"/>
        <v>0</v>
      </c>
      <c r="AK127" s="483">
        <f t="shared" si="71"/>
        <v>0</v>
      </c>
      <c r="AL127" s="483">
        <f t="shared" si="71"/>
        <v>0</v>
      </c>
      <c r="AM127" s="483">
        <f t="shared" si="71"/>
        <v>0</v>
      </c>
      <c r="AN127" s="483">
        <f t="shared" si="71"/>
        <v>0</v>
      </c>
    </row>
    <row r="128" spans="2:40" x14ac:dyDescent="0.25">
      <c r="AI128" s="483">
        <f t="shared" ref="AI128:AN128" si="72">IFERROR((AI60-AI105)/AI105,)</f>
        <v>0</v>
      </c>
      <c r="AJ128" s="483">
        <f t="shared" si="72"/>
        <v>0</v>
      </c>
      <c r="AK128" s="483">
        <f t="shared" si="72"/>
        <v>0</v>
      </c>
      <c r="AL128" s="483">
        <f t="shared" si="72"/>
        <v>0</v>
      </c>
      <c r="AM128" s="483">
        <f t="shared" si="72"/>
        <v>0</v>
      </c>
      <c r="AN128" s="483">
        <f t="shared" si="72"/>
        <v>0</v>
      </c>
    </row>
    <row r="129" spans="6:40" x14ac:dyDescent="0.25">
      <c r="AI129" s="483">
        <f t="shared" ref="AI129:AN129" si="73">IFERROR((AI61-AI106)/AI106,)</f>
        <v>0</v>
      </c>
      <c r="AJ129" s="483">
        <f t="shared" si="73"/>
        <v>0</v>
      </c>
      <c r="AK129" s="483">
        <f t="shared" si="73"/>
        <v>0</v>
      </c>
      <c r="AL129" s="483">
        <f t="shared" si="73"/>
        <v>0</v>
      </c>
      <c r="AM129" s="483">
        <f t="shared" si="73"/>
        <v>0</v>
      </c>
      <c r="AN129" s="483">
        <f t="shared" si="73"/>
        <v>0</v>
      </c>
    </row>
    <row r="130" spans="6:40" x14ac:dyDescent="0.25">
      <c r="AI130" s="483">
        <f t="shared" ref="AI130:AN130" si="74">IFERROR((AI62-AI107)/AI107,)</f>
        <v>0</v>
      </c>
      <c r="AJ130" s="483">
        <f t="shared" si="74"/>
        <v>0</v>
      </c>
      <c r="AK130" s="483">
        <f t="shared" si="74"/>
        <v>0</v>
      </c>
      <c r="AL130" s="483">
        <f t="shared" si="74"/>
        <v>0</v>
      </c>
      <c r="AM130" s="483">
        <f t="shared" si="74"/>
        <v>0</v>
      </c>
      <c r="AN130" s="483">
        <f t="shared" si="74"/>
        <v>0</v>
      </c>
    </row>
    <row r="131" spans="6:40" x14ac:dyDescent="0.25">
      <c r="AI131" s="483">
        <f t="shared" ref="AI131:AN131" si="75">IFERROR((AI63-AI108)/AI108,)</f>
        <v>0</v>
      </c>
      <c r="AJ131" s="483">
        <f t="shared" si="75"/>
        <v>0</v>
      </c>
      <c r="AK131" s="483">
        <f t="shared" si="75"/>
        <v>0</v>
      </c>
      <c r="AL131" s="483">
        <f t="shared" si="75"/>
        <v>0</v>
      </c>
      <c r="AM131" s="483">
        <f t="shared" si="75"/>
        <v>0</v>
      </c>
      <c r="AN131" s="483">
        <f t="shared" si="75"/>
        <v>0</v>
      </c>
    </row>
    <row r="132" spans="6:40" x14ac:dyDescent="0.25">
      <c r="AI132" s="483">
        <f t="shared" ref="AI132:AN132" si="76">IFERROR((AI64-AI109)/AI109,)</f>
        <v>0</v>
      </c>
      <c r="AJ132" s="483">
        <f t="shared" si="76"/>
        <v>0</v>
      </c>
      <c r="AK132" s="483">
        <f t="shared" si="76"/>
        <v>0</v>
      </c>
      <c r="AL132" s="483">
        <f t="shared" si="76"/>
        <v>0</v>
      </c>
      <c r="AM132" s="483">
        <f t="shared" si="76"/>
        <v>0</v>
      </c>
      <c r="AN132" s="483">
        <f t="shared" si="76"/>
        <v>0</v>
      </c>
    </row>
    <row r="133" spans="6:40" x14ac:dyDescent="0.25">
      <c r="AI133" s="483">
        <f t="shared" ref="AI133:AN133" si="77">IFERROR((AI65-AI110)/AI110,)</f>
        <v>0</v>
      </c>
      <c r="AJ133" s="483">
        <f t="shared" si="77"/>
        <v>0</v>
      </c>
      <c r="AK133" s="483">
        <f t="shared" si="77"/>
        <v>0</v>
      </c>
      <c r="AL133" s="483">
        <f t="shared" si="77"/>
        <v>0</v>
      </c>
      <c r="AM133" s="483">
        <f t="shared" si="77"/>
        <v>0</v>
      </c>
      <c r="AN133" s="483">
        <f t="shared" si="77"/>
        <v>1.2554325372274747E-4</v>
      </c>
    </row>
    <row r="134" spans="6:40" x14ac:dyDescent="0.25">
      <c r="AI134" s="483">
        <f t="shared" ref="AI134:AN134" si="78">IFERROR((AI66-AI111)/AI111,)</f>
        <v>0</v>
      </c>
      <c r="AJ134" s="483">
        <f t="shared" si="78"/>
        <v>0</v>
      </c>
      <c r="AK134" s="483">
        <f t="shared" si="78"/>
        <v>0</v>
      </c>
      <c r="AL134" s="483">
        <f t="shared" si="78"/>
        <v>0</v>
      </c>
      <c r="AM134" s="483">
        <f t="shared" si="78"/>
        <v>0</v>
      </c>
      <c r="AN134" s="483">
        <f t="shared" si="78"/>
        <v>1.458908251468743E-3</v>
      </c>
    </row>
    <row r="135" spans="6:40" x14ac:dyDescent="0.25">
      <c r="AI135" s="483">
        <f t="shared" ref="AI135:AN135" si="79">IFERROR((AI67-AI112)/AI112,)</f>
        <v>0</v>
      </c>
      <c r="AJ135" s="483">
        <f>IFERROR((AJ67-AJ112)/AJ112,)</f>
        <v>-0.27054794520547948</v>
      </c>
      <c r="AK135" s="483">
        <f t="shared" si="79"/>
        <v>-5.8004640371226411E-4</v>
      </c>
      <c r="AL135" s="483">
        <f t="shared" si="79"/>
        <v>-0.12844653665097508</v>
      </c>
      <c r="AM135" s="483">
        <f t="shared" si="79"/>
        <v>-3.3721898417984987E-2</v>
      </c>
      <c r="AN135" s="483">
        <f t="shared" si="79"/>
        <v>-3.4532897128316975E-2</v>
      </c>
    </row>
    <row r="136" spans="6:40" x14ac:dyDescent="0.25">
      <c r="AI136" s="483">
        <f t="shared" ref="AI136:AN136" si="80">IFERROR((AI68-AI113)/AI113,)</f>
        <v>0</v>
      </c>
      <c r="AJ136" s="483">
        <f t="shared" si="80"/>
        <v>-0.25910378726473671</v>
      </c>
      <c r="AK136" s="483">
        <f t="shared" si="80"/>
        <v>-1.6328273384472462E-2</v>
      </c>
      <c r="AL136" s="483">
        <f t="shared" si="80"/>
        <v>-0.21304323816886642</v>
      </c>
      <c r="AM136" s="483">
        <f t="shared" si="80"/>
        <v>-3.9236324371446113E-2</v>
      </c>
      <c r="AN136" s="483">
        <f t="shared" si="80"/>
        <v>-3.8498041656493905E-2</v>
      </c>
    </row>
    <row r="137" spans="6:40" x14ac:dyDescent="0.25">
      <c r="F137" s="541"/>
      <c r="G137" s="541"/>
      <c r="H137" s="541"/>
      <c r="I137" s="541"/>
      <c r="J137" s="541"/>
      <c r="K137" s="541"/>
      <c r="AI137" s="483">
        <f t="shared" ref="AI137:AN137" si="81">IFERROR((AI69-AI114)/AI114,)</f>
        <v>1.4267926420885546E-16</v>
      </c>
      <c r="AJ137" s="483">
        <f t="shared" si="81"/>
        <v>-3.5714285714285428E-2</v>
      </c>
      <c r="AK137" s="483">
        <f t="shared" si="81"/>
        <v>0</v>
      </c>
      <c r="AL137" s="483">
        <f t="shared" si="81"/>
        <v>-1.1627906976744146E-2</v>
      </c>
      <c r="AM137" s="483">
        <f t="shared" si="81"/>
        <v>-2.1613832853026754E-3</v>
      </c>
      <c r="AN137" s="483">
        <f t="shared" si="81"/>
        <v>-3.1125976187427696E-3</v>
      </c>
    </row>
    <row r="138" spans="6:40" x14ac:dyDescent="0.25">
      <c r="F138" s="541"/>
      <c r="G138" s="541"/>
      <c r="H138" s="541"/>
      <c r="I138" s="541"/>
      <c r="J138" s="541"/>
      <c r="K138" s="541"/>
      <c r="AI138" s="483">
        <f t="shared" ref="AI138:AN138" si="82">IFERROR((AI70-AI115)/AI115,)</f>
        <v>0</v>
      </c>
      <c r="AJ138" s="483">
        <f t="shared" si="82"/>
        <v>-4.7084981209294982E-2</v>
      </c>
      <c r="AK138" s="483">
        <f t="shared" si="82"/>
        <v>0</v>
      </c>
      <c r="AL138" s="483">
        <f t="shared" si="82"/>
        <v>-6.4017039655656929E-2</v>
      </c>
      <c r="AM138" s="483">
        <f t="shared" si="82"/>
        <v>-1.371995510277713E-2</v>
      </c>
      <c r="AN138" s="483">
        <f t="shared" si="82"/>
        <v>-8.8143695918363289E-3</v>
      </c>
    </row>
    <row r="139" spans="6:40" x14ac:dyDescent="0.25">
      <c r="F139" s="541"/>
      <c r="G139" s="541"/>
      <c r="H139" s="541"/>
      <c r="I139" s="541"/>
      <c r="J139" s="541"/>
      <c r="K139" s="541"/>
      <c r="AI139" s="483">
        <f t="shared" ref="AI139:AM139" si="83">IFERROR((AI71-AI116)/AI116,)</f>
        <v>1.4632226177131888</v>
      </c>
      <c r="AJ139" s="483">
        <f t="shared" si="83"/>
        <v>3.0471664597319741</v>
      </c>
      <c r="AK139" s="483">
        <f t="shared" si="83"/>
        <v>3.1151512289413521</v>
      </c>
      <c r="AL139" s="483">
        <f t="shared" si="83"/>
        <v>2.8873470138739825</v>
      </c>
      <c r="AM139" s="483">
        <f t="shared" si="83"/>
        <v>2.7116460741678168</v>
      </c>
      <c r="AN139" s="483">
        <f>IFERROR((AN71-AN116)/AN116,)</f>
        <v>2.3895414045573928</v>
      </c>
    </row>
    <row r="140" spans="6:40" x14ac:dyDescent="0.25">
      <c r="F140" s="541"/>
      <c r="G140" s="541"/>
      <c r="H140" s="541"/>
      <c r="I140" s="541"/>
      <c r="J140" s="541"/>
      <c r="K140" s="541"/>
      <c r="AI140" s="483">
        <f t="shared" ref="AI140:AN140" si="84">IFERROR((AI72-AI117)/AI117,)</f>
        <v>1.4710012300635986</v>
      </c>
      <c r="AJ140" s="483">
        <f t="shared" si="84"/>
        <v>2.6010628751250677</v>
      </c>
      <c r="AK140" s="483">
        <f t="shared" si="84"/>
        <v>2.6154294114330479</v>
      </c>
      <c r="AL140" s="483">
        <f t="shared" si="84"/>
        <v>2.2825157260338798</v>
      </c>
      <c r="AM140" s="483">
        <f t="shared" si="84"/>
        <v>1.8115870691504059</v>
      </c>
      <c r="AN140" s="483">
        <f t="shared" si="84"/>
        <v>1.7813308755852757</v>
      </c>
    </row>
    <row r="141" spans="6:40" x14ac:dyDescent="0.25">
      <c r="F141" s="541"/>
      <c r="G141" s="541"/>
      <c r="H141" s="541"/>
      <c r="I141" s="541"/>
      <c r="J141" s="541"/>
      <c r="K141" s="541"/>
      <c r="AI141" s="483">
        <f t="shared" ref="AI141:AN141" si="85">IFERROR((AI73-AI118)/AI118,)</f>
        <v>0.54209036588740145</v>
      </c>
      <c r="AJ141" s="483">
        <f t="shared" si="85"/>
        <v>0.49649856484307642</v>
      </c>
      <c r="AK141" s="483">
        <f t="shared" si="85"/>
        <v>0.69840187266999987</v>
      </c>
      <c r="AL141" s="483">
        <f t="shared" si="85"/>
        <v>0.88720966956790914</v>
      </c>
      <c r="AM141" s="483">
        <f t="shared" si="85"/>
        <v>0.49295208334847668</v>
      </c>
      <c r="AN141" s="483">
        <f t="shared" si="85"/>
        <v>-2.026311648006246E-2</v>
      </c>
    </row>
    <row r="142" spans="6:40" x14ac:dyDescent="0.25">
      <c r="F142" s="541"/>
      <c r="G142" s="541"/>
      <c r="H142" s="541"/>
      <c r="I142" s="541"/>
      <c r="J142" s="541"/>
      <c r="K142" s="541"/>
      <c r="AI142" s="483">
        <f t="shared" ref="AI142:AN142" si="86">IFERROR((AI74-AI119)/AI119,)</f>
        <v>0.62418981306347554</v>
      </c>
      <c r="AJ142" s="483">
        <f t="shared" si="86"/>
        <v>0.50822128449670168</v>
      </c>
      <c r="AK142" s="483">
        <f t="shared" si="86"/>
        <v>0.72680990201012419</v>
      </c>
      <c r="AL142" s="483">
        <f t="shared" si="86"/>
        <v>1.0542807371095648</v>
      </c>
      <c r="AM142" s="483">
        <f t="shared" si="86"/>
        <v>0.67912276620596101</v>
      </c>
      <c r="AN142" s="483">
        <f t="shared" si="86"/>
        <v>3.9843949400134374E-2</v>
      </c>
    </row>
    <row r="143" spans="6:40" x14ac:dyDescent="0.25">
      <c r="F143" s="541"/>
      <c r="G143" s="541"/>
      <c r="H143" s="541"/>
      <c r="I143" s="541"/>
      <c r="J143" s="541"/>
      <c r="K143" s="541"/>
    </row>
    <row r="144" spans="6:40" x14ac:dyDescent="0.25">
      <c r="F144" s="541"/>
      <c r="G144" s="541"/>
      <c r="H144" s="541"/>
      <c r="I144" s="541"/>
      <c r="J144" s="541"/>
      <c r="K144" s="541"/>
    </row>
    <row r="145" spans="6:11" x14ac:dyDescent="0.25">
      <c r="F145" s="541"/>
      <c r="G145" s="541"/>
      <c r="H145" s="541"/>
      <c r="I145" s="541"/>
      <c r="J145" s="541"/>
      <c r="K145" s="541"/>
    </row>
  </sheetData>
  <mergeCells count="41">
    <mergeCell ref="B1:AN1"/>
    <mergeCell ref="C89:D89"/>
    <mergeCell ref="C55:D56"/>
    <mergeCell ref="C57:D58"/>
    <mergeCell ref="C59:D60"/>
    <mergeCell ref="C61:D62"/>
    <mergeCell ref="C63:D64"/>
    <mergeCell ref="C65:D66"/>
    <mergeCell ref="C67:D68"/>
    <mergeCell ref="C69:D70"/>
    <mergeCell ref="C71:D72"/>
    <mergeCell ref="C73:D74"/>
    <mergeCell ref="B79:I79"/>
    <mergeCell ref="E2:J2"/>
    <mergeCell ref="E15:J15"/>
    <mergeCell ref="C88:D88"/>
    <mergeCell ref="B33:J33"/>
    <mergeCell ref="B49:C49"/>
    <mergeCell ref="B78:I78"/>
    <mergeCell ref="B41:C41"/>
    <mergeCell ref="B42:C42"/>
    <mergeCell ref="B75:D75"/>
    <mergeCell ref="B38:D38"/>
    <mergeCell ref="B39:C39"/>
    <mergeCell ref="B40:C40"/>
    <mergeCell ref="B43:C43"/>
    <mergeCell ref="B47:C47"/>
    <mergeCell ref="B48:C48"/>
    <mergeCell ref="C100:D101"/>
    <mergeCell ref="C102:D103"/>
    <mergeCell ref="C104:D105"/>
    <mergeCell ref="C106:D107"/>
    <mergeCell ref="B77:I77"/>
    <mergeCell ref="C90:D90"/>
    <mergeCell ref="C91:D91"/>
    <mergeCell ref="C118:D119"/>
    <mergeCell ref="C108:D109"/>
    <mergeCell ref="C110:D111"/>
    <mergeCell ref="C112:D113"/>
    <mergeCell ref="C114:D115"/>
    <mergeCell ref="C116:D117"/>
  </mergeCells>
  <pageMargins left="0.7" right="0.7" top="0.75" bottom="0.75" header="0.3" footer="0.3"/>
  <pageSetup paperSize="8" scale="35" orientation="landscape" r:id="rId1"/>
  <drawing r:id="rId2"/>
</worksheet>
</file>

<file path=docProps/app.xml><?xml version="1.0" encoding="utf-8"?>
<Properties xmlns="http://schemas.openxmlformats.org/officeDocument/2006/extended-properties" xmlns:vt="http://schemas.openxmlformats.org/officeDocument/2006/docPropsVTypes">
  <TotalTime>33</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Viande bovine</vt:lpstr>
      <vt:lpstr>Viande porcine</vt:lpstr>
      <vt:lpstr>Viande de volaille</vt:lpstr>
      <vt:lpstr>Sucre</vt:lpstr>
      <vt:lpstr>Ethanol</vt:lpstr>
      <vt:lpstr>Ethanol!Zone_d_impression</vt:lpstr>
      <vt:lpstr>Sucre!Zone_d_impression</vt:lpstr>
      <vt:lpstr>'Viande bovine'!Zone_d_impression</vt:lpstr>
      <vt:lpstr>'Viande de volaille'!Zone_d_impression</vt:lpstr>
      <vt:lpstr>'Viande porcine'!Zone_d_impression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PAQUOTTE Philippe</dc:creator>
  <cp:lastModifiedBy>Wilfred SUDDATH</cp:lastModifiedBy>
  <cp:revision>9</cp:revision>
  <cp:lastPrinted>2019-10-28T16:22:05Z</cp:lastPrinted>
  <dcterms:created xsi:type="dcterms:W3CDTF">2019-03-20T13:49:36Z</dcterms:created>
  <dcterms:modified xsi:type="dcterms:W3CDTF">2021-07-21T20:04:02Z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FranceAgriMer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